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tables/table1.xml" ContentType="application/vnd.openxmlformats-officedocument.spreadsheetml.tab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88C19904-458A-4B9F-941B-41E42D844A1B}" xr6:coauthVersionLast="47" xr6:coauthVersionMax="47" xr10:uidLastSave="{00000000-0000-0000-0000-000000000000}"/>
  <bookViews>
    <workbookView xWindow="-28920" yWindow="-75" windowWidth="29040" windowHeight="17640" firstSheet="30" activeTab="40" xr2:uid="{00000000-000D-0000-FFFF-FFFF00000000}"/>
  </bookViews>
  <sheets>
    <sheet name="Pregled tabela" sheetId="80" r:id="rId1"/>
    <sheet name="Tabela 1" sheetId="55" r:id="rId2"/>
    <sheet name="Tabela 2" sheetId="122" r:id="rId3"/>
    <sheet name="Tabela 3" sheetId="2" r:id="rId4"/>
    <sheet name="Tabela 4" sheetId="3" r:id="rId5"/>
    <sheet name="Tabela 5" sheetId="120" r:id="rId6"/>
    <sheet name="Tabela 6" sheetId="121" r:id="rId7"/>
    <sheet name="Tabela 7" sheetId="79" r:id="rId8"/>
    <sheet name="Tabela 8" sheetId="4" r:id="rId9"/>
    <sheet name="Tabela 9" sheetId="5" r:id="rId10"/>
    <sheet name="Tabela 10" sheetId="123" r:id="rId11"/>
    <sheet name="Tabela 11" sheetId="7" r:id="rId12"/>
    <sheet name="Tabela 12" sheetId="125" r:id="rId13"/>
    <sheet name="Tabela 13" sheetId="124" r:id="rId14"/>
    <sheet name="Tabela 14" sheetId="8" r:id="rId15"/>
    <sheet name="Tabela 15" sheetId="9" r:id="rId16"/>
    <sheet name="Tabela 16" sheetId="10" r:id="rId17"/>
    <sheet name="Tabela 17" sheetId="126" r:id="rId18"/>
    <sheet name="Tabela 18" sheetId="11" r:id="rId19"/>
    <sheet name="Tabela 19" sheetId="12" r:id="rId20"/>
    <sheet name="Tabela 20" sheetId="118" r:id="rId21"/>
    <sheet name="Tabela 21" sheetId="13" r:id="rId22"/>
    <sheet name="Tabela 22" sheetId="14" r:id="rId23"/>
    <sheet name="Tabela 23" sheetId="54" r:id="rId24"/>
    <sheet name="Tabela 24" sheetId="15" r:id="rId25"/>
    <sheet name="Tabela 25" sheetId="16" r:id="rId26"/>
    <sheet name="Tabela 26" sheetId="17" r:id="rId27"/>
    <sheet name="Tabela 27" sheetId="18" r:id="rId28"/>
    <sheet name="Tabela 28" sheetId="22" r:id="rId29"/>
    <sheet name="Tabela 29" sheetId="67" r:id="rId30"/>
    <sheet name="Tabela 30" sheetId="68" r:id="rId31"/>
    <sheet name="Tabela 31" sheetId="23" r:id="rId32"/>
    <sheet name="Tabela 32" sheetId="69" r:id="rId33"/>
    <sheet name="Tabela 33" sheetId="129" r:id="rId34"/>
    <sheet name="Tabela 34" sheetId="131" r:id="rId35"/>
    <sheet name="Tabela 35" sheetId="119" r:id="rId36"/>
    <sheet name="Tabela 36 " sheetId="94" r:id="rId37"/>
    <sheet name="Tabela 37" sheetId="130" r:id="rId38"/>
    <sheet name="Tabela 38" sheetId="27" r:id="rId39"/>
    <sheet name="Tabela 39" sheetId="28" r:id="rId40"/>
    <sheet name="Tabela 40" sheetId="29" r:id="rId41"/>
    <sheet name="Tabela 41" sheetId="30" r:id="rId42"/>
    <sheet name="Tabela 42" sheetId="133" r:id="rId43"/>
    <sheet name="Tabela 43" sheetId="132" r:id="rId44"/>
    <sheet name="Tabela 44" sheetId="31" r:id="rId45"/>
    <sheet name="Tabela 45" sheetId="95" r:id="rId46"/>
    <sheet name="Tabela 46" sheetId="96" r:id="rId47"/>
    <sheet name="Tabela 47" sheetId="114" r:id="rId48"/>
    <sheet name="Tabela 48" sheetId="117" r:id="rId49"/>
    <sheet name="Tabela 49" sheetId="115" r:id="rId50"/>
    <sheet name="Tabela 50" sheetId="32" r:id="rId51"/>
    <sheet name="Tabela 51" sheetId="109" r:id="rId52"/>
    <sheet name="Tabela 52" sheetId="33" r:id="rId53"/>
    <sheet name="Tabela 53" sheetId="35" r:id="rId54"/>
    <sheet name="Tabela 54" sheetId="92" r:id="rId55"/>
    <sheet name="Tabela 55" sheetId="57" r:id="rId56"/>
    <sheet name="Tabela 56" sheetId="36" r:id="rId57"/>
    <sheet name="Tabela 57" sheetId="37" r:id="rId58"/>
    <sheet name="Tabela 58" sheetId="97" r:id="rId59"/>
    <sheet name="Tabela 59" sheetId="39" r:id="rId60"/>
    <sheet name="Tabela 60" sheetId="40" r:id="rId61"/>
    <sheet name="Tabela 61" sheetId="41" r:id="rId62"/>
    <sheet name="Tabela 62" sheetId="98" r:id="rId63"/>
    <sheet name="Tabela 63" sheetId="81" r:id="rId64"/>
    <sheet name="Tabela 64" sheetId="82" r:id="rId65"/>
    <sheet name="Tabela 65" sheetId="58" r:id="rId66"/>
    <sheet name="Tabela 66" sheetId="110" r:id="rId67"/>
    <sheet name="Tabela 67" sheetId="43" r:id="rId68"/>
    <sheet name="Tabela 68" sheetId="46" r:id="rId69"/>
    <sheet name="Tabela 69" sheetId="99" r:id="rId70"/>
    <sheet name="Tabela 70" sheetId="49" r:id="rId71"/>
    <sheet name="Tabela 71" sheetId="50" r:id="rId72"/>
    <sheet name="Tabela 72" sheetId="51" r:id="rId73"/>
    <sheet name="Tabela 73" sheetId="20" r:id="rId74"/>
    <sheet name="Tabela 74" sheetId="134" r:id="rId75"/>
    <sheet name="Tabela 75" sheetId="135" r:id="rId76"/>
    <sheet name="Tabela 76" sheetId="136" r:id="rId77"/>
    <sheet name="Tabela 77" sheetId="137" r:id="rId78"/>
    <sheet name="Tabela 78" sheetId="138" r:id="rId79"/>
    <sheet name="Tabela 79 i 79a" sheetId="139" r:id="rId80"/>
    <sheet name="Tabela 80 i 80a" sheetId="140" r:id="rId81"/>
    <sheet name="Tabela 81" sheetId="141" r:id="rId82"/>
    <sheet name="Tabela 82" sheetId="142" r:id="rId83"/>
    <sheet name="Tabela 83" sheetId="143" r:id="rId84"/>
    <sheet name="Tabela 84" sheetId="144" r:id="rId85"/>
    <sheet name="Tabela 85 i 85a" sheetId="145" r:id="rId86"/>
    <sheet name="Tabela 86" sheetId="146" r:id="rId87"/>
    <sheet name="Tabela 87" sheetId="147" r:id="rId88"/>
    <sheet name="Tabela 88" sheetId="148" r:id="rId89"/>
  </sheets>
  <definedNames>
    <definedName name="_ftn1" localSheetId="16">'Tabela 16'!$B$16</definedName>
    <definedName name="_ftn2" localSheetId="52">'Tabela 52'!#REF!</definedName>
    <definedName name="_ftn3" localSheetId="52">'Tabela 52'!$B$13</definedName>
    <definedName name="_ftnref1" localSheetId="16">'Tabela 16'!$C$13</definedName>
    <definedName name="_Hlk125727381" localSheetId="48">'Tabela 48'!$B$5</definedName>
    <definedName name="_Hlk24466834" localSheetId="9">'Tabela 9'!$B$3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48" l="1"/>
  <c r="E14" i="143"/>
  <c r="F34" i="136"/>
  <c r="G18" i="99"/>
  <c r="G15" i="99"/>
  <c r="G30" i="99"/>
  <c r="H16" i="143" l="1"/>
  <c r="H17" i="143"/>
  <c r="F14" i="141"/>
  <c r="I11" i="140"/>
  <c r="I9" i="140"/>
  <c r="I10" i="140"/>
  <c r="I8" i="140"/>
  <c r="H11" i="140"/>
  <c r="H9" i="140"/>
  <c r="H10" i="140"/>
  <c r="H8" i="140"/>
  <c r="G40" i="136"/>
  <c r="L9" i="99"/>
  <c r="I45" i="99"/>
  <c r="H45" i="99"/>
  <c r="I41" i="99"/>
  <c r="H41" i="99"/>
  <c r="I37" i="99"/>
  <c r="H37" i="99"/>
  <c r="I30" i="99"/>
  <c r="I28" i="99" s="1"/>
  <c r="H30" i="99"/>
  <c r="H28" i="99" s="1"/>
  <c r="I24" i="99"/>
  <c r="H24" i="99"/>
  <c r="I16" i="99"/>
  <c r="H16" i="99"/>
  <c r="I9" i="99"/>
  <c r="H9" i="99"/>
  <c r="G8" i="41"/>
  <c r="G15" i="40"/>
  <c r="O10" i="57"/>
  <c r="N10" i="57"/>
  <c r="M10" i="57"/>
  <c r="L10" i="57"/>
  <c r="K10" i="57"/>
  <c r="J10" i="57"/>
  <c r="P10" i="57" s="1"/>
  <c r="I10" i="57"/>
  <c r="H10" i="57"/>
  <c r="G10" i="57"/>
  <c r="F10" i="57"/>
  <c r="E10" i="57"/>
  <c r="D10" i="57"/>
  <c r="P9" i="57"/>
  <c r="P8" i="57"/>
  <c r="P7" i="57"/>
  <c r="D10" i="96"/>
  <c r="E10" i="96"/>
  <c r="H21" i="99" l="1"/>
  <c r="H49" i="99" s="1"/>
  <c r="H51" i="99" s="1"/>
  <c r="I21" i="99"/>
  <c r="I49" i="99" s="1"/>
  <c r="I51" i="99" s="1"/>
  <c r="G70" i="130"/>
  <c r="G69" i="130"/>
  <c r="F72" i="130"/>
  <c r="F65" i="130"/>
  <c r="F64" i="130"/>
  <c r="F59" i="130"/>
  <c r="F50" i="130"/>
  <c r="M7" i="131"/>
  <c r="H7" i="131"/>
  <c r="L14" i="23" l="1"/>
  <c r="F10" i="10"/>
  <c r="D10" i="10"/>
  <c r="H44" i="123"/>
  <c r="H43" i="123"/>
  <c r="F44" i="123"/>
  <c r="F24" i="123"/>
  <c r="N8" i="122"/>
  <c r="N9" i="122"/>
  <c r="N10" i="122"/>
  <c r="N11" i="122"/>
  <c r="N12" i="122"/>
  <c r="N13" i="122"/>
  <c r="N14" i="122"/>
  <c r="N15" i="122"/>
  <c r="N16" i="122"/>
  <c r="N17" i="122"/>
  <c r="N18" i="122"/>
  <c r="N19" i="122"/>
  <c r="N7" i="122"/>
  <c r="L8" i="122"/>
  <c r="L9" i="122"/>
  <c r="L10" i="122"/>
  <c r="L11" i="122"/>
  <c r="L12" i="122"/>
  <c r="L13" i="122"/>
  <c r="L14" i="122"/>
  <c r="L15" i="122"/>
  <c r="L16" i="122"/>
  <c r="L17" i="122"/>
  <c r="L18" i="122"/>
  <c r="L19" i="122"/>
  <c r="L7" i="122"/>
  <c r="J8" i="122"/>
  <c r="J9" i="122"/>
  <c r="J10" i="122"/>
  <c r="J11" i="122"/>
  <c r="J12" i="122"/>
  <c r="J13" i="122"/>
  <c r="J14" i="122"/>
  <c r="J15" i="122"/>
  <c r="J16" i="122"/>
  <c r="J17" i="122"/>
  <c r="J18" i="122"/>
  <c r="J19" i="122"/>
  <c r="J7" i="122"/>
  <c r="H8" i="122"/>
  <c r="H9" i="122"/>
  <c r="H10" i="122"/>
  <c r="H11" i="122"/>
  <c r="H12" i="122"/>
  <c r="H13" i="122"/>
  <c r="H14" i="122"/>
  <c r="H15" i="122"/>
  <c r="H16" i="122"/>
  <c r="H17" i="122"/>
  <c r="H18" i="122"/>
  <c r="H19" i="122"/>
  <c r="H7" i="122"/>
  <c r="H19" i="143" l="1"/>
  <c r="F28" i="141"/>
  <c r="F24" i="139" l="1"/>
  <c r="E24" i="139"/>
  <c r="G45" i="136"/>
  <c r="G39" i="136"/>
  <c r="G30" i="136"/>
  <c r="E30" i="136"/>
  <c r="G23" i="136"/>
  <c r="G22" i="136" s="1"/>
  <c r="E23" i="136"/>
  <c r="G16" i="136"/>
  <c r="G10" i="136"/>
  <c r="J50" i="99"/>
  <c r="J47" i="99"/>
  <c r="J48" i="99"/>
  <c r="J46" i="99"/>
  <c r="J43" i="99"/>
  <c r="J44" i="99"/>
  <c r="J42" i="99"/>
  <c r="J41" i="99"/>
  <c r="J39" i="99"/>
  <c r="J40" i="99"/>
  <c r="J38" i="99"/>
  <c r="J30" i="99"/>
  <c r="J31" i="99"/>
  <c r="J32" i="99"/>
  <c r="J33" i="99"/>
  <c r="J34" i="99"/>
  <c r="J35" i="99"/>
  <c r="J29" i="99"/>
  <c r="J26" i="99"/>
  <c r="J27" i="99"/>
  <c r="J25" i="99"/>
  <c r="J18" i="99"/>
  <c r="J19" i="99"/>
  <c r="J20" i="99"/>
  <c r="J17" i="99"/>
  <c r="J16" i="99" s="1"/>
  <c r="J10" i="99"/>
  <c r="J11" i="99"/>
  <c r="J9" i="99" s="1"/>
  <c r="J12" i="99"/>
  <c r="J13" i="99"/>
  <c r="J14" i="99"/>
  <c r="J15" i="99"/>
  <c r="G71" i="130"/>
  <c r="F71" i="130"/>
  <c r="E67" i="130"/>
  <c r="E59" i="130"/>
  <c r="E60" i="130"/>
  <c r="E61" i="130"/>
  <c r="E62" i="130"/>
  <c r="E63" i="130"/>
  <c r="E64" i="130"/>
  <c r="E65" i="130"/>
  <c r="E66" i="130"/>
  <c r="E58" i="130"/>
  <c r="F67" i="130"/>
  <c r="E71" i="130"/>
  <c r="E70" i="130"/>
  <c r="E69" i="130"/>
  <c r="E57" i="130"/>
  <c r="J21" i="99" l="1"/>
  <c r="J28" i="99"/>
  <c r="J45" i="99"/>
  <c r="K43" i="99" s="1"/>
  <c r="J37" i="99"/>
  <c r="K37" i="99" s="1"/>
  <c r="J24" i="99"/>
  <c r="K10" i="99"/>
  <c r="E52" i="130"/>
  <c r="E53" i="130"/>
  <c r="E54" i="130"/>
  <c r="E55" i="130"/>
  <c r="E56" i="130"/>
  <c r="E51" i="130"/>
  <c r="E50" i="130"/>
  <c r="E10" i="130"/>
  <c r="E11" i="130"/>
  <c r="E12" i="130"/>
  <c r="E13" i="130"/>
  <c r="E14" i="130"/>
  <c r="E15" i="130"/>
  <c r="E16" i="130"/>
  <c r="E17" i="130"/>
  <c r="E18" i="130"/>
  <c r="E19" i="130"/>
  <c r="E20" i="130"/>
  <c r="E21" i="130"/>
  <c r="E22" i="130"/>
  <c r="E23" i="130"/>
  <c r="E24" i="130"/>
  <c r="E25" i="130"/>
  <c r="E26" i="130"/>
  <c r="E27" i="130"/>
  <c r="E28" i="130"/>
  <c r="E29" i="130"/>
  <c r="E30" i="130"/>
  <c r="E31" i="130"/>
  <c r="E32" i="130"/>
  <c r="E33" i="130"/>
  <c r="E34" i="130"/>
  <c r="E35" i="130"/>
  <c r="E36" i="130"/>
  <c r="E37" i="130"/>
  <c r="E38" i="130"/>
  <c r="E39" i="130"/>
  <c r="E40" i="130"/>
  <c r="E41" i="130"/>
  <c r="E42" i="130"/>
  <c r="E43" i="130"/>
  <c r="E44" i="130"/>
  <c r="E45" i="130"/>
  <c r="E46" i="130"/>
  <c r="E47" i="130"/>
  <c r="E48" i="130"/>
  <c r="E49" i="130"/>
  <c r="E9" i="130"/>
  <c r="D67" i="130"/>
  <c r="H72" i="130"/>
  <c r="H70" i="130"/>
  <c r="H71" i="130"/>
  <c r="H69" i="130"/>
  <c r="H67" i="130"/>
  <c r="H59" i="130"/>
  <c r="H60" i="130"/>
  <c r="H61" i="130"/>
  <c r="H62" i="130"/>
  <c r="H63" i="130"/>
  <c r="H64" i="130"/>
  <c r="H65" i="130"/>
  <c r="H58" i="130"/>
  <c r="H10" i="130"/>
  <c r="H11" i="130"/>
  <c r="H12" i="130"/>
  <c r="H14" i="130"/>
  <c r="H15" i="130"/>
  <c r="H17" i="130"/>
  <c r="H18" i="130"/>
  <c r="H21" i="130"/>
  <c r="H22" i="130"/>
  <c r="H23" i="130"/>
  <c r="H24" i="130"/>
  <c r="H25" i="130"/>
  <c r="H28" i="130"/>
  <c r="H30" i="130"/>
  <c r="H31" i="130"/>
  <c r="H34" i="130"/>
  <c r="H35" i="130"/>
  <c r="H36" i="130"/>
  <c r="H38" i="130"/>
  <c r="H39" i="130"/>
  <c r="H47" i="130"/>
  <c r="H49" i="130"/>
  <c r="H51" i="130"/>
  <c r="H52" i="130"/>
  <c r="H53" i="130"/>
  <c r="H54" i="130"/>
  <c r="M9" i="131"/>
  <c r="M10" i="131"/>
  <c r="M12" i="131"/>
  <c r="M13" i="131"/>
  <c r="M14" i="131"/>
  <c r="M15" i="131"/>
  <c r="M16" i="131"/>
  <c r="M17" i="131"/>
  <c r="M18" i="131"/>
  <c r="M19" i="131"/>
  <c r="M20" i="131"/>
  <c r="M21" i="131"/>
  <c r="M22" i="131"/>
  <c r="M23" i="131"/>
  <c r="M24" i="131"/>
  <c r="M25" i="131"/>
  <c r="M26" i="131"/>
  <c r="M30" i="131"/>
  <c r="M31" i="131"/>
  <c r="M32" i="131"/>
  <c r="M8" i="131"/>
  <c r="F33" i="123"/>
  <c r="F22" i="123"/>
  <c r="H23" i="123"/>
  <c r="H24" i="123"/>
  <c r="H26" i="123"/>
  <c r="H27" i="123"/>
  <c r="H28" i="123"/>
  <c r="H29" i="123"/>
  <c r="H30" i="123"/>
  <c r="H31" i="123"/>
  <c r="H32" i="123"/>
  <c r="H35" i="123"/>
  <c r="H36" i="123"/>
  <c r="H37" i="123"/>
  <c r="H38" i="123"/>
  <c r="H39" i="123"/>
  <c r="H40" i="123"/>
  <c r="E42" i="123"/>
  <c r="F41" i="123"/>
  <c r="H41" i="123" s="1"/>
  <c r="H10" i="123"/>
  <c r="H11" i="123"/>
  <c r="H12" i="123"/>
  <c r="H13" i="123"/>
  <c r="H14" i="123"/>
  <c r="H15" i="123"/>
  <c r="H16" i="123"/>
  <c r="H17" i="123"/>
  <c r="H18" i="123"/>
  <c r="H19" i="123"/>
  <c r="H20" i="123"/>
  <c r="H21" i="123"/>
  <c r="H9" i="123"/>
  <c r="E27" i="123"/>
  <c r="E28" i="123"/>
  <c r="E29" i="123"/>
  <c r="E30" i="123"/>
  <c r="E31" i="123"/>
  <c r="E32" i="123"/>
  <c r="E33" i="123"/>
  <c r="E35" i="123"/>
  <c r="E36" i="123"/>
  <c r="E37" i="123"/>
  <c r="E38" i="123"/>
  <c r="E39" i="123"/>
  <c r="E40" i="123"/>
  <c r="E41" i="123"/>
  <c r="E26" i="123"/>
  <c r="D44" i="123"/>
  <c r="D42" i="123"/>
  <c r="D41" i="123"/>
  <c r="D33" i="123"/>
  <c r="D24" i="123"/>
  <c r="E10" i="123"/>
  <c r="E11" i="123"/>
  <c r="E12" i="123"/>
  <c r="E13" i="123"/>
  <c r="E14" i="123"/>
  <c r="E15" i="123"/>
  <c r="E16" i="123"/>
  <c r="E17" i="123"/>
  <c r="E18" i="123"/>
  <c r="E19" i="123"/>
  <c r="E20" i="123"/>
  <c r="E9" i="123"/>
  <c r="E22" i="123" s="1"/>
  <c r="D22" i="123"/>
  <c r="E21" i="123" s="1"/>
  <c r="F9" i="141"/>
  <c r="G17" i="51"/>
  <c r="G11" i="51"/>
  <c r="G15" i="50"/>
  <c r="F15" i="148"/>
  <c r="G13" i="148" s="1"/>
  <c r="G15" i="148" s="1"/>
  <c r="D15" i="148"/>
  <c r="H13" i="148"/>
  <c r="F12" i="148"/>
  <c r="D12" i="148"/>
  <c r="E11" i="148" s="1"/>
  <c r="H11" i="148"/>
  <c r="G10" i="148"/>
  <c r="E10" i="148"/>
  <c r="H9" i="148"/>
  <c r="E26" i="146"/>
  <c r="D26" i="146"/>
  <c r="E20" i="146"/>
  <c r="D20" i="146"/>
  <c r="E16" i="146"/>
  <c r="D16" i="146"/>
  <c r="E10" i="146"/>
  <c r="E30" i="146" s="1"/>
  <c r="D10" i="146"/>
  <c r="D30" i="146" s="1"/>
  <c r="G26" i="145"/>
  <c r="F26" i="145"/>
  <c r="E22" i="145"/>
  <c r="E26" i="145" s="1"/>
  <c r="D22" i="145"/>
  <c r="D26" i="145" s="1"/>
  <c r="M13" i="145"/>
  <c r="L13" i="145"/>
  <c r="K13" i="145"/>
  <c r="J13" i="145"/>
  <c r="G13" i="145"/>
  <c r="F13" i="145"/>
  <c r="E13" i="145"/>
  <c r="D13" i="145"/>
  <c r="O12" i="145"/>
  <c r="N12" i="145"/>
  <c r="I12" i="145"/>
  <c r="I13" i="145" s="1"/>
  <c r="H12" i="145"/>
  <c r="H13" i="145" s="1"/>
  <c r="O11" i="145"/>
  <c r="N11" i="145"/>
  <c r="I11" i="145"/>
  <c r="H11" i="145"/>
  <c r="O10" i="145"/>
  <c r="N10" i="145"/>
  <c r="I10" i="145"/>
  <c r="H10" i="145"/>
  <c r="O9" i="145"/>
  <c r="O13" i="145" s="1"/>
  <c r="N9" i="145"/>
  <c r="N13" i="145" s="1"/>
  <c r="I9" i="145"/>
  <c r="H9" i="145"/>
  <c r="G10" i="142"/>
  <c r="F10" i="142"/>
  <c r="E10" i="142"/>
  <c r="D8" i="142"/>
  <c r="D10" i="142" s="1"/>
  <c r="I43" i="141"/>
  <c r="G42" i="141"/>
  <c r="I42" i="141" s="1"/>
  <c r="E42" i="141"/>
  <c r="I41" i="141"/>
  <c r="I40" i="141"/>
  <c r="I39" i="141"/>
  <c r="G38" i="141"/>
  <c r="I38" i="141" s="1"/>
  <c r="E38" i="141"/>
  <c r="F38" i="141" s="1"/>
  <c r="I36" i="141"/>
  <c r="I35" i="141"/>
  <c r="I34" i="141"/>
  <c r="G33" i="141"/>
  <c r="I33" i="141" s="1"/>
  <c r="E33" i="141"/>
  <c r="E32" i="141" s="1"/>
  <c r="I31" i="141"/>
  <c r="I30" i="141"/>
  <c r="G29" i="141"/>
  <c r="E29" i="141"/>
  <c r="E28" i="141" s="1"/>
  <c r="I27" i="141"/>
  <c r="I26" i="141"/>
  <c r="F26" i="141"/>
  <c r="I25" i="141"/>
  <c r="F25" i="141"/>
  <c r="G24" i="141"/>
  <c r="I24" i="141" s="1"/>
  <c r="E24" i="141"/>
  <c r="F24" i="141" s="1"/>
  <c r="I23" i="141"/>
  <c r="I22" i="141"/>
  <c r="F22" i="141"/>
  <c r="F21" i="141"/>
  <c r="G20" i="141"/>
  <c r="I20" i="141" s="1"/>
  <c r="E20" i="141"/>
  <c r="F11" i="141" s="1"/>
  <c r="I17" i="141"/>
  <c r="I16" i="141"/>
  <c r="I15" i="141"/>
  <c r="G14" i="141"/>
  <c r="E14" i="141"/>
  <c r="F16" i="141" s="1"/>
  <c r="I13" i="141"/>
  <c r="I12" i="141"/>
  <c r="I11" i="141"/>
  <c r="I10" i="141"/>
  <c r="G9" i="141"/>
  <c r="E9" i="141"/>
  <c r="F12" i="141" s="1"/>
  <c r="G20" i="140"/>
  <c r="I20" i="140" s="1"/>
  <c r="F20" i="140"/>
  <c r="E20" i="140"/>
  <c r="D20" i="140"/>
  <c r="H19" i="140"/>
  <c r="I18" i="140"/>
  <c r="H18" i="140"/>
  <c r="G11" i="140"/>
  <c r="F11" i="140"/>
  <c r="E11" i="140"/>
  <c r="D11" i="140"/>
  <c r="L13" i="139"/>
  <c r="I13" i="139"/>
  <c r="H13" i="139"/>
  <c r="G13" i="139"/>
  <c r="F13" i="139"/>
  <c r="K12" i="139"/>
  <c r="M12" i="139" s="1"/>
  <c r="J12" i="139"/>
  <c r="K11" i="139"/>
  <c r="J11" i="139"/>
  <c r="M11" i="139" s="1"/>
  <c r="K10" i="139"/>
  <c r="J10" i="139"/>
  <c r="M10" i="139" s="1"/>
  <c r="K9" i="139"/>
  <c r="J9" i="139"/>
  <c r="M9" i="139" s="1"/>
  <c r="K8" i="139"/>
  <c r="J8" i="139"/>
  <c r="E13" i="138"/>
  <c r="F13" i="138" s="1"/>
  <c r="D13" i="138"/>
  <c r="F12" i="138"/>
  <c r="F11" i="138"/>
  <c r="F10" i="138"/>
  <c r="F9" i="138"/>
  <c r="F8" i="138"/>
  <c r="F19" i="137"/>
  <c r="E19" i="137"/>
  <c r="D19" i="137"/>
  <c r="G18" i="137"/>
  <c r="G17" i="137"/>
  <c r="G16" i="137"/>
  <c r="G15" i="137"/>
  <c r="G19" i="137" s="1"/>
  <c r="H18" i="137" s="1"/>
  <c r="F13" i="137"/>
  <c r="E13" i="137"/>
  <c r="D13" i="137"/>
  <c r="G12" i="137"/>
  <c r="G11" i="137"/>
  <c r="G10" i="137"/>
  <c r="G9" i="137"/>
  <c r="G8" i="137"/>
  <c r="G13" i="137" s="1"/>
  <c r="I46" i="136"/>
  <c r="I45" i="136"/>
  <c r="E45" i="136"/>
  <c r="I44" i="136"/>
  <c r="I43" i="136"/>
  <c r="I42" i="136"/>
  <c r="I41" i="136"/>
  <c r="E40" i="136"/>
  <c r="F30" i="136" s="1"/>
  <c r="I39" i="136"/>
  <c r="F39" i="136"/>
  <c r="E39" i="136"/>
  <c r="I38" i="136"/>
  <c r="I37" i="136"/>
  <c r="F37" i="136"/>
  <c r="I36" i="136"/>
  <c r="F36" i="136"/>
  <c r="G35" i="136"/>
  <c r="E35" i="136"/>
  <c r="I34" i="136"/>
  <c r="I33" i="136"/>
  <c r="I32" i="136"/>
  <c r="I31" i="136"/>
  <c r="F31" i="136"/>
  <c r="I30" i="136"/>
  <c r="G28" i="136"/>
  <c r="H25" i="136" s="1"/>
  <c r="I27" i="136"/>
  <c r="I26" i="136"/>
  <c r="E22" i="136"/>
  <c r="I22" i="136" s="1"/>
  <c r="I21" i="136"/>
  <c r="I20" i="136"/>
  <c r="I19" i="136"/>
  <c r="I18" i="136"/>
  <c r="I17" i="136"/>
  <c r="I16" i="136"/>
  <c r="E16" i="136"/>
  <c r="I15" i="136"/>
  <c r="I14" i="136"/>
  <c r="I13" i="136"/>
  <c r="I12" i="136"/>
  <c r="I11" i="136"/>
  <c r="E10" i="136"/>
  <c r="I9" i="136"/>
  <c r="I8" i="136"/>
  <c r="F12" i="134"/>
  <c r="H12" i="134" s="1"/>
  <c r="D12" i="134"/>
  <c r="E8" i="134" s="1"/>
  <c r="H11" i="134"/>
  <c r="H10" i="134"/>
  <c r="E10" i="134"/>
  <c r="H9" i="134"/>
  <c r="E9" i="134"/>
  <c r="H8" i="134"/>
  <c r="G8" i="134"/>
  <c r="K10" i="20"/>
  <c r="J10" i="20"/>
  <c r="I10" i="20"/>
  <c r="H10" i="20"/>
  <c r="G10" i="20"/>
  <c r="F10" i="20"/>
  <c r="J24" i="51"/>
  <c r="F24" i="51"/>
  <c r="J23" i="51"/>
  <c r="L23" i="51" s="1"/>
  <c r="F23" i="51"/>
  <c r="J22" i="51"/>
  <c r="F22" i="51"/>
  <c r="I21" i="51"/>
  <c r="H21" i="51"/>
  <c r="E21" i="51"/>
  <c r="D21" i="51"/>
  <c r="J20" i="51"/>
  <c r="F20" i="51"/>
  <c r="J19" i="51"/>
  <c r="F19" i="51"/>
  <c r="J18" i="51"/>
  <c r="F18" i="51"/>
  <c r="J17" i="51"/>
  <c r="F17" i="51"/>
  <c r="J16" i="51"/>
  <c r="F16" i="51"/>
  <c r="I14" i="51"/>
  <c r="I25" i="51" s="1"/>
  <c r="H14" i="51"/>
  <c r="E14" i="51"/>
  <c r="E25" i="51" s="1"/>
  <c r="D14" i="51"/>
  <c r="D25" i="51" s="1"/>
  <c r="J13" i="51"/>
  <c r="F13" i="51"/>
  <c r="J12" i="51"/>
  <c r="F12" i="51"/>
  <c r="J11" i="51"/>
  <c r="F11" i="51"/>
  <c r="L11" i="51" s="1"/>
  <c r="J10" i="51"/>
  <c r="L10" i="51" s="1"/>
  <c r="F10" i="51"/>
  <c r="J22" i="50"/>
  <c r="L22" i="50" s="1"/>
  <c r="F22" i="50"/>
  <c r="I21" i="50"/>
  <c r="H21" i="50"/>
  <c r="E21" i="50"/>
  <c r="E23" i="50" s="1"/>
  <c r="D21" i="50"/>
  <c r="D23" i="50" s="1"/>
  <c r="J20" i="50"/>
  <c r="F20" i="50"/>
  <c r="J19" i="50"/>
  <c r="L19" i="50" s="1"/>
  <c r="F19" i="50"/>
  <c r="J18" i="50"/>
  <c r="L18" i="50" s="1"/>
  <c r="F18" i="50"/>
  <c r="F21" i="50" s="1"/>
  <c r="I16" i="50"/>
  <c r="H16" i="50"/>
  <c r="E16" i="50"/>
  <c r="D16" i="50"/>
  <c r="J15" i="50"/>
  <c r="L15" i="50" s="1"/>
  <c r="F15" i="50"/>
  <c r="J14" i="50"/>
  <c r="L14" i="50" s="1"/>
  <c r="F14" i="50"/>
  <c r="J13" i="50"/>
  <c r="F13" i="50"/>
  <c r="J12" i="50"/>
  <c r="L12" i="50" s="1"/>
  <c r="F12" i="50"/>
  <c r="J11" i="50"/>
  <c r="F11" i="50"/>
  <c r="J10" i="50"/>
  <c r="F10" i="50"/>
  <c r="F16" i="50" s="1"/>
  <c r="N11" i="49"/>
  <c r="M11" i="49"/>
  <c r="K11" i="49"/>
  <c r="J11" i="49"/>
  <c r="H11" i="49"/>
  <c r="G11" i="49"/>
  <c r="E11" i="49"/>
  <c r="D11" i="49"/>
  <c r="O10" i="49"/>
  <c r="L10" i="49"/>
  <c r="L11" i="49" s="1"/>
  <c r="I10" i="49"/>
  <c r="E10" i="49"/>
  <c r="D10" i="49"/>
  <c r="F10" i="49" s="1"/>
  <c r="O9" i="49"/>
  <c r="O11" i="49" s="1"/>
  <c r="L9" i="49"/>
  <c r="I9" i="49"/>
  <c r="I11" i="49" s="1"/>
  <c r="E9" i="49"/>
  <c r="D9" i="49"/>
  <c r="F9" i="49" s="1"/>
  <c r="F50" i="99"/>
  <c r="L48" i="99"/>
  <c r="K48" i="99"/>
  <c r="F48" i="99"/>
  <c r="F47" i="99"/>
  <c r="L47" i="99" s="1"/>
  <c r="K46" i="99"/>
  <c r="F46" i="99"/>
  <c r="L46" i="99" s="1"/>
  <c r="K45" i="99"/>
  <c r="E45" i="99"/>
  <c r="D45" i="99"/>
  <c r="K44" i="99"/>
  <c r="F44" i="99"/>
  <c r="L44" i="99" s="1"/>
  <c r="F43" i="99"/>
  <c r="F41" i="99" s="1"/>
  <c r="L42" i="99"/>
  <c r="K42" i="99"/>
  <c r="F42" i="99"/>
  <c r="K41" i="99"/>
  <c r="E41" i="99"/>
  <c r="D41" i="99"/>
  <c r="K40" i="99"/>
  <c r="F40" i="99"/>
  <c r="L40" i="99" s="1"/>
  <c r="K39" i="99"/>
  <c r="F39" i="99"/>
  <c r="L38" i="99"/>
  <c r="F38" i="99"/>
  <c r="E37" i="99"/>
  <c r="D37" i="99"/>
  <c r="F35" i="99"/>
  <c r="L35" i="99" s="1"/>
  <c r="L34" i="99"/>
  <c r="K34" i="99"/>
  <c r="F34" i="99"/>
  <c r="K33" i="99"/>
  <c r="F33" i="99"/>
  <c r="L32" i="99"/>
  <c r="K32" i="99"/>
  <c r="F32" i="99"/>
  <c r="L31" i="99"/>
  <c r="K31" i="99"/>
  <c r="F31" i="99"/>
  <c r="K30" i="99"/>
  <c r="F30" i="99"/>
  <c r="L30" i="99" s="1"/>
  <c r="E30" i="99"/>
  <c r="E28" i="99" s="1"/>
  <c r="D30" i="99"/>
  <c r="D28" i="99" s="1"/>
  <c r="L29" i="99"/>
  <c r="K29" i="99"/>
  <c r="F29" i="99"/>
  <c r="F28" i="99" s="1"/>
  <c r="K27" i="99"/>
  <c r="F27" i="99"/>
  <c r="F24" i="99" s="1"/>
  <c r="L26" i="99"/>
  <c r="F26" i="99"/>
  <c r="L25" i="99"/>
  <c r="K25" i="99"/>
  <c r="F25" i="99"/>
  <c r="E24" i="99"/>
  <c r="D24" i="99"/>
  <c r="K21" i="99"/>
  <c r="K20" i="99"/>
  <c r="F20" i="99"/>
  <c r="L20" i="99" s="1"/>
  <c r="K19" i="99"/>
  <c r="F19" i="99"/>
  <c r="K18" i="99"/>
  <c r="F18" i="99"/>
  <c r="L18" i="99" s="1"/>
  <c r="F17" i="99"/>
  <c r="L17" i="99" s="1"/>
  <c r="K16" i="99"/>
  <c r="E16" i="99"/>
  <c r="D16" i="99"/>
  <c r="K15" i="99"/>
  <c r="F15" i="99"/>
  <c r="L15" i="99" s="1"/>
  <c r="K14" i="99"/>
  <c r="F14" i="99"/>
  <c r="L14" i="99" s="1"/>
  <c r="K13" i="99"/>
  <c r="F13" i="99"/>
  <c r="L13" i="99" s="1"/>
  <c r="L12" i="99"/>
  <c r="F12" i="99"/>
  <c r="F11" i="99"/>
  <c r="F10" i="99"/>
  <c r="L10" i="99" s="1"/>
  <c r="F9" i="99"/>
  <c r="E9" i="99"/>
  <c r="E21" i="99" s="1"/>
  <c r="E49" i="99" s="1"/>
  <c r="E51" i="99" s="1"/>
  <c r="D9" i="99"/>
  <c r="D21" i="99" s="1"/>
  <c r="D49" i="99" s="1"/>
  <c r="D51" i="99" s="1"/>
  <c r="E16" i="43"/>
  <c r="D16" i="43"/>
  <c r="E8" i="43"/>
  <c r="D8" i="43"/>
  <c r="M15" i="58"/>
  <c r="I15" i="58"/>
  <c r="H15" i="58"/>
  <c r="E15" i="58"/>
  <c r="F11" i="58" s="1"/>
  <c r="L14" i="58"/>
  <c r="K14" i="58"/>
  <c r="J14" i="58"/>
  <c r="L13" i="58"/>
  <c r="K13" i="58"/>
  <c r="J13" i="58"/>
  <c r="N13" i="58" s="1"/>
  <c r="L12" i="58"/>
  <c r="K12" i="58"/>
  <c r="J12" i="58"/>
  <c r="N12" i="58" s="1"/>
  <c r="F12" i="58"/>
  <c r="L11" i="58"/>
  <c r="K11" i="58"/>
  <c r="J11" i="58"/>
  <c r="N11" i="58" s="1"/>
  <c r="L10" i="58"/>
  <c r="K10" i="58"/>
  <c r="J10" i="58"/>
  <c r="N10" i="58" s="1"/>
  <c r="L9" i="58"/>
  <c r="K9" i="58"/>
  <c r="J9" i="58"/>
  <c r="F9" i="58"/>
  <c r="F12" i="82"/>
  <c r="D12" i="82"/>
  <c r="D11" i="82"/>
  <c r="D10" i="82"/>
  <c r="F9" i="82"/>
  <c r="D9" i="82"/>
  <c r="D8" i="82"/>
  <c r="D7" i="82"/>
  <c r="D13" i="82" s="1"/>
  <c r="F21" i="81"/>
  <c r="E21" i="81"/>
  <c r="D21" i="81"/>
  <c r="G20" i="81"/>
  <c r="G19" i="81"/>
  <c r="G18" i="81"/>
  <c r="G17" i="81"/>
  <c r="G16" i="81"/>
  <c r="G15" i="81"/>
  <c r="F13" i="81"/>
  <c r="E13" i="81"/>
  <c r="D13" i="81"/>
  <c r="G12" i="81"/>
  <c r="G11" i="81"/>
  <c r="G10" i="81"/>
  <c r="G9" i="81"/>
  <c r="G8" i="81"/>
  <c r="H10" i="98"/>
  <c r="G10" i="98"/>
  <c r="E10" i="98"/>
  <c r="D10" i="98"/>
  <c r="I9" i="98"/>
  <c r="J9" i="98" s="1"/>
  <c r="F9" i="98"/>
  <c r="I8" i="98"/>
  <c r="I10" i="98" s="1"/>
  <c r="F8" i="98"/>
  <c r="I11" i="41"/>
  <c r="H11" i="41"/>
  <c r="E11" i="41"/>
  <c r="D11" i="41"/>
  <c r="J10" i="41"/>
  <c r="L10" i="41" s="1"/>
  <c r="F10" i="41"/>
  <c r="J9" i="41"/>
  <c r="L9" i="41" s="1"/>
  <c r="F9" i="41"/>
  <c r="J8" i="41"/>
  <c r="F8" i="41"/>
  <c r="I16" i="40"/>
  <c r="H16" i="40"/>
  <c r="E16" i="40"/>
  <c r="D16" i="40"/>
  <c r="J15" i="40"/>
  <c r="L15" i="40" s="1"/>
  <c r="F15" i="40"/>
  <c r="J14" i="40"/>
  <c r="L14" i="40" s="1"/>
  <c r="F14" i="40"/>
  <c r="J13" i="40"/>
  <c r="F13" i="40"/>
  <c r="L13" i="40" s="1"/>
  <c r="J12" i="40"/>
  <c r="F12" i="40"/>
  <c r="F16" i="40" s="1"/>
  <c r="G9" i="40" s="1"/>
  <c r="J11" i="40"/>
  <c r="L11" i="40" s="1"/>
  <c r="F11" i="40"/>
  <c r="G11" i="40" s="1"/>
  <c r="J10" i="40"/>
  <c r="F10" i="40"/>
  <c r="L10" i="40" s="1"/>
  <c r="J9" i="40"/>
  <c r="F9" i="40"/>
  <c r="K57" i="39"/>
  <c r="G57" i="39"/>
  <c r="K56" i="39"/>
  <c r="M56" i="39" s="1"/>
  <c r="G56" i="39"/>
  <c r="K55" i="39"/>
  <c r="G55" i="39"/>
  <c r="K54" i="39"/>
  <c r="G54" i="39"/>
  <c r="J53" i="39"/>
  <c r="I53" i="39"/>
  <c r="F53" i="39"/>
  <c r="E53" i="39"/>
  <c r="K52" i="39"/>
  <c r="G52" i="39"/>
  <c r="K51" i="39"/>
  <c r="G51" i="39"/>
  <c r="G53" i="39" s="1"/>
  <c r="K50" i="39"/>
  <c r="G50" i="39"/>
  <c r="M50" i="39" s="1"/>
  <c r="K46" i="39"/>
  <c r="G46" i="39"/>
  <c r="K45" i="39"/>
  <c r="M45" i="39" s="1"/>
  <c r="G45" i="39"/>
  <c r="K44" i="39"/>
  <c r="G44" i="39"/>
  <c r="G43" i="39" s="1"/>
  <c r="K43" i="39"/>
  <c r="M43" i="39" s="1"/>
  <c r="J43" i="39"/>
  <c r="J47" i="39" s="1"/>
  <c r="I43" i="39"/>
  <c r="F43" i="39"/>
  <c r="E43" i="39"/>
  <c r="K42" i="39"/>
  <c r="G42" i="39"/>
  <c r="K41" i="39"/>
  <c r="G41" i="39"/>
  <c r="G40" i="39" s="1"/>
  <c r="J40" i="39"/>
  <c r="I40" i="39"/>
  <c r="F40" i="39"/>
  <c r="E40" i="39"/>
  <c r="E47" i="39" s="1"/>
  <c r="K39" i="39"/>
  <c r="G39" i="39"/>
  <c r="K38" i="39"/>
  <c r="M38" i="39" s="1"/>
  <c r="G38" i="39"/>
  <c r="K37" i="39"/>
  <c r="G37" i="39"/>
  <c r="K35" i="39"/>
  <c r="G35" i="39"/>
  <c r="K34" i="39"/>
  <c r="G34" i="39"/>
  <c r="K33" i="39"/>
  <c r="M33" i="39" s="1"/>
  <c r="G33" i="39"/>
  <c r="K32" i="39"/>
  <c r="G32" i="39"/>
  <c r="K31" i="39"/>
  <c r="J31" i="39"/>
  <c r="J36" i="39" s="1"/>
  <c r="I31" i="39"/>
  <c r="I36" i="39" s="1"/>
  <c r="F31" i="39"/>
  <c r="F36" i="39" s="1"/>
  <c r="E31" i="39"/>
  <c r="E36" i="39" s="1"/>
  <c r="K28" i="39"/>
  <c r="M28" i="39" s="1"/>
  <c r="G28" i="39"/>
  <c r="K27" i="39"/>
  <c r="G27" i="39"/>
  <c r="K26" i="39"/>
  <c r="G26" i="39"/>
  <c r="K25" i="39"/>
  <c r="G25" i="39"/>
  <c r="K24" i="39"/>
  <c r="M24" i="39" s="1"/>
  <c r="G24" i="39"/>
  <c r="J23" i="39"/>
  <c r="I23" i="39"/>
  <c r="F23" i="39"/>
  <c r="E23" i="39"/>
  <c r="K22" i="39"/>
  <c r="G22" i="39"/>
  <c r="K21" i="39"/>
  <c r="K20" i="39" s="1"/>
  <c r="G21" i="39"/>
  <c r="J20" i="39"/>
  <c r="I20" i="39"/>
  <c r="F20" i="39"/>
  <c r="F19" i="39" s="1"/>
  <c r="F29" i="39" s="1"/>
  <c r="E20" i="39"/>
  <c r="E19" i="39" s="1"/>
  <c r="E29" i="39" s="1"/>
  <c r="K18" i="39"/>
  <c r="G18" i="39"/>
  <c r="K17" i="39"/>
  <c r="G17" i="39"/>
  <c r="K16" i="39"/>
  <c r="G16" i="39"/>
  <c r="K15" i="39"/>
  <c r="G15" i="39"/>
  <c r="K14" i="39"/>
  <c r="G14" i="39"/>
  <c r="J13" i="39"/>
  <c r="I13" i="39"/>
  <c r="F13" i="39"/>
  <c r="E13" i="39"/>
  <c r="K12" i="39"/>
  <c r="M12" i="39" s="1"/>
  <c r="G12" i="39"/>
  <c r="K11" i="39"/>
  <c r="G11" i="39"/>
  <c r="K10" i="39"/>
  <c r="G10" i="39"/>
  <c r="G9" i="39" s="1"/>
  <c r="J9" i="39"/>
  <c r="I9" i="39"/>
  <c r="F9" i="39"/>
  <c r="E9" i="39"/>
  <c r="H15" i="148" l="1"/>
  <c r="H12" i="148"/>
  <c r="G9" i="148"/>
  <c r="G12" i="148" s="1"/>
  <c r="G32" i="141"/>
  <c r="I32" i="141" s="1"/>
  <c r="G28" i="141"/>
  <c r="H40" i="141" s="1"/>
  <c r="H22" i="141"/>
  <c r="H43" i="141"/>
  <c r="H13" i="141"/>
  <c r="H20" i="141"/>
  <c r="H24" i="141"/>
  <c r="H12" i="141"/>
  <c r="J13" i="139"/>
  <c r="K13" i="139"/>
  <c r="H16" i="137"/>
  <c r="H12" i="137"/>
  <c r="H9" i="137"/>
  <c r="G9" i="134"/>
  <c r="G12" i="134" s="1"/>
  <c r="G10" i="134"/>
  <c r="G11" i="134"/>
  <c r="H25" i="51"/>
  <c r="I23" i="50"/>
  <c r="H23" i="50"/>
  <c r="K47" i="99"/>
  <c r="K35" i="99"/>
  <c r="K17" i="99"/>
  <c r="K12" i="99"/>
  <c r="K26" i="99"/>
  <c r="K38" i="99"/>
  <c r="K28" i="99"/>
  <c r="J49" i="99"/>
  <c r="J51" i="99" s="1"/>
  <c r="K50" i="99"/>
  <c r="K15" i="58"/>
  <c r="L15" i="58"/>
  <c r="N14" i="58"/>
  <c r="J15" i="58"/>
  <c r="N15" i="58" s="1"/>
  <c r="F14" i="58"/>
  <c r="J16" i="40"/>
  <c r="K12" i="40" s="1"/>
  <c r="J19" i="39"/>
  <c r="J29" i="39" s="1"/>
  <c r="I19" i="39"/>
  <c r="K13" i="39"/>
  <c r="F42" i="123"/>
  <c r="G33" i="123" s="1"/>
  <c r="H33" i="123"/>
  <c r="H22" i="123"/>
  <c r="G10" i="123"/>
  <c r="G11" i="123"/>
  <c r="G17" i="123"/>
  <c r="G19" i="123"/>
  <c r="G21" i="123"/>
  <c r="G9" i="123"/>
  <c r="G12" i="123"/>
  <c r="G16" i="123"/>
  <c r="G18" i="123"/>
  <c r="G20" i="123"/>
  <c r="G13" i="123"/>
  <c r="G14" i="123"/>
  <c r="G15" i="123"/>
  <c r="D18" i="143"/>
  <c r="F32" i="136"/>
  <c r="F33" i="136"/>
  <c r="H17" i="136"/>
  <c r="H10" i="136"/>
  <c r="H20" i="136"/>
  <c r="H11" i="136"/>
  <c r="H24" i="136"/>
  <c r="H14" i="136"/>
  <c r="H22" i="136"/>
  <c r="H21" i="136"/>
  <c r="H8" i="136"/>
  <c r="H15" i="136"/>
  <c r="H9" i="136"/>
  <c r="H16" i="136"/>
  <c r="H23" i="136"/>
  <c r="H18" i="136"/>
  <c r="H12" i="136"/>
  <c r="H26" i="136"/>
  <c r="H19" i="136"/>
  <c r="H13" i="136"/>
  <c r="H27" i="136"/>
  <c r="K11" i="99"/>
  <c r="K9" i="99"/>
  <c r="K24" i="99"/>
  <c r="F18" i="143"/>
  <c r="H18" i="143" s="1"/>
  <c r="G41" i="123"/>
  <c r="F12" i="144"/>
  <c r="H9" i="143"/>
  <c r="D17" i="144"/>
  <c r="G8" i="135"/>
  <c r="H10" i="143"/>
  <c r="H15" i="144"/>
  <c r="D12" i="144"/>
  <c r="D8" i="135"/>
  <c r="M57" i="39"/>
  <c r="M25" i="39"/>
  <c r="M52" i="39"/>
  <c r="M14" i="39"/>
  <c r="M15" i="39"/>
  <c r="M27" i="39"/>
  <c r="M22" i="39"/>
  <c r="I47" i="39"/>
  <c r="I48" i="39" s="1"/>
  <c r="M11" i="39"/>
  <c r="M54" i="39"/>
  <c r="M17" i="39"/>
  <c r="M41" i="39"/>
  <c r="M18" i="39"/>
  <c r="K23" i="39"/>
  <c r="M23" i="39" s="1"/>
  <c r="M42" i="39"/>
  <c r="K53" i="39"/>
  <c r="M51" i="39"/>
  <c r="I29" i="39"/>
  <c r="M32" i="39"/>
  <c r="G13" i="39"/>
  <c r="F47" i="39"/>
  <c r="F48" i="39" s="1"/>
  <c r="M35" i="39"/>
  <c r="M46" i="39"/>
  <c r="G23" i="39"/>
  <c r="H11" i="143"/>
  <c r="H10" i="144"/>
  <c r="H14" i="143"/>
  <c r="H14" i="144"/>
  <c r="H11" i="144"/>
  <c r="E13" i="82"/>
  <c r="F13" i="82" s="1"/>
  <c r="D12" i="143"/>
  <c r="D20" i="143" s="1"/>
  <c r="E9" i="148"/>
  <c r="E12" i="148" s="1"/>
  <c r="E13" i="148"/>
  <c r="E15" i="148" s="1"/>
  <c r="H9" i="144"/>
  <c r="H16" i="144"/>
  <c r="F17" i="144"/>
  <c r="F12" i="143"/>
  <c r="F42" i="141"/>
  <c r="F37" i="141"/>
  <c r="F41" i="141"/>
  <c r="F44" i="141"/>
  <c r="F40" i="141"/>
  <c r="F36" i="141"/>
  <c r="H37" i="141"/>
  <c r="H31" i="141"/>
  <c r="H17" i="141"/>
  <c r="H46" i="141"/>
  <c r="H14" i="141"/>
  <c r="H41" i="141"/>
  <c r="H44" i="141"/>
  <c r="H36" i="141"/>
  <c r="I28" i="141"/>
  <c r="H16" i="141"/>
  <c r="F32" i="141"/>
  <c r="H32" i="141"/>
  <c r="F13" i="141"/>
  <c r="F17" i="141"/>
  <c r="H21" i="141"/>
  <c r="H25" i="141"/>
  <c r="F29" i="141"/>
  <c r="F33" i="141"/>
  <c r="I9" i="141"/>
  <c r="F30" i="141"/>
  <c r="F10" i="141"/>
  <c r="G18" i="141"/>
  <c r="F23" i="141"/>
  <c r="F27" i="141"/>
  <c r="H30" i="141"/>
  <c r="F46" i="141"/>
  <c r="I29" i="141"/>
  <c r="H10" i="141"/>
  <c r="H23" i="141"/>
  <c r="H27" i="141"/>
  <c r="I14" i="141"/>
  <c r="F31" i="141"/>
  <c r="H34" i="141"/>
  <c r="H42" i="141"/>
  <c r="H9" i="141"/>
  <c r="F15" i="141"/>
  <c r="H11" i="141"/>
  <c r="H15" i="141"/>
  <c r="F20" i="141"/>
  <c r="F35" i="141"/>
  <c r="F39" i="141"/>
  <c r="F43" i="141"/>
  <c r="H29" i="141"/>
  <c r="H26" i="141"/>
  <c r="F34" i="141"/>
  <c r="H35" i="141"/>
  <c r="E18" i="141"/>
  <c r="H20" i="140"/>
  <c r="M8" i="139"/>
  <c r="H17" i="137"/>
  <c r="H11" i="137"/>
  <c r="H10" i="137"/>
  <c r="H8" i="137"/>
  <c r="H13" i="137" s="1"/>
  <c r="H15" i="137"/>
  <c r="H30" i="136"/>
  <c r="H38" i="136"/>
  <c r="H34" i="136"/>
  <c r="H33" i="136"/>
  <c r="H37" i="136"/>
  <c r="I40" i="136"/>
  <c r="H36" i="136"/>
  <c r="H32" i="136"/>
  <c r="H31" i="136"/>
  <c r="F35" i="136"/>
  <c r="F10" i="136"/>
  <c r="H39" i="136"/>
  <c r="F22" i="136"/>
  <c r="I35" i="136"/>
  <c r="E28" i="136"/>
  <c r="I10" i="136"/>
  <c r="F38" i="136"/>
  <c r="I28" i="136"/>
  <c r="E12" i="134"/>
  <c r="E11" i="134"/>
  <c r="L13" i="51"/>
  <c r="J21" i="51"/>
  <c r="J25" i="51" s="1"/>
  <c r="L22" i="51"/>
  <c r="L17" i="51"/>
  <c r="J14" i="51"/>
  <c r="L18" i="51"/>
  <c r="L24" i="51"/>
  <c r="L14" i="51"/>
  <c r="L16" i="51"/>
  <c r="L19" i="51"/>
  <c r="F14" i="51"/>
  <c r="L20" i="51"/>
  <c r="F21" i="51"/>
  <c r="F23" i="50"/>
  <c r="G18" i="50" s="1"/>
  <c r="G12" i="50"/>
  <c r="G13" i="50"/>
  <c r="G22" i="50"/>
  <c r="G21" i="50"/>
  <c r="G19" i="50"/>
  <c r="G20" i="50"/>
  <c r="J16" i="50"/>
  <c r="L20" i="50"/>
  <c r="J21" i="50"/>
  <c r="L10" i="50"/>
  <c r="L13" i="50"/>
  <c r="G10" i="50"/>
  <c r="F11" i="49"/>
  <c r="L28" i="99"/>
  <c r="G39" i="99"/>
  <c r="L41" i="99"/>
  <c r="G50" i="99"/>
  <c r="L24" i="99"/>
  <c r="F16" i="99"/>
  <c r="F37" i="99"/>
  <c r="G12" i="99" s="1"/>
  <c r="F21" i="99"/>
  <c r="F45" i="99"/>
  <c r="G29" i="99"/>
  <c r="G40" i="99"/>
  <c r="L43" i="99"/>
  <c r="L27" i="99"/>
  <c r="L33" i="99"/>
  <c r="L50" i="99"/>
  <c r="G9" i="99"/>
  <c r="G27" i="99"/>
  <c r="G14" i="99"/>
  <c r="D24" i="43"/>
  <c r="E24" i="43"/>
  <c r="F13" i="58"/>
  <c r="N9" i="58"/>
  <c r="F10" i="58"/>
  <c r="F15" i="58" s="1"/>
  <c r="F8" i="82"/>
  <c r="F10" i="82"/>
  <c r="F11" i="82"/>
  <c r="F7" i="82"/>
  <c r="D22" i="81"/>
  <c r="E22" i="81"/>
  <c r="F22" i="81"/>
  <c r="G13" i="81"/>
  <c r="H12" i="81" s="1"/>
  <c r="G21" i="81"/>
  <c r="H15" i="81" s="1"/>
  <c r="F10" i="98"/>
  <c r="J10" i="98" s="1"/>
  <c r="J8" i="98"/>
  <c r="L8" i="41"/>
  <c r="J11" i="41"/>
  <c r="K10" i="41" s="1"/>
  <c r="F11" i="41"/>
  <c r="K9" i="41"/>
  <c r="L16" i="40"/>
  <c r="K14" i="40"/>
  <c r="K11" i="40"/>
  <c r="K13" i="40"/>
  <c r="K10" i="40"/>
  <c r="G14" i="40"/>
  <c r="L9" i="40"/>
  <c r="K15" i="40"/>
  <c r="G10" i="40"/>
  <c r="G16" i="40" s="1"/>
  <c r="G13" i="40"/>
  <c r="K9" i="40"/>
  <c r="G12" i="40"/>
  <c r="M13" i="39"/>
  <c r="E48" i="39"/>
  <c r="G47" i="39"/>
  <c r="M53" i="39"/>
  <c r="J48" i="39"/>
  <c r="M21" i="39"/>
  <c r="K36" i="39"/>
  <c r="M26" i="39"/>
  <c r="M34" i="39"/>
  <c r="M10" i="39"/>
  <c r="G20" i="39"/>
  <c r="M44" i="39"/>
  <c r="M16" i="39"/>
  <c r="G31" i="39"/>
  <c r="M31" i="39" s="1"/>
  <c r="M37" i="39"/>
  <c r="K9" i="39"/>
  <c r="K40" i="39"/>
  <c r="K47" i="39" s="1"/>
  <c r="F12" i="37"/>
  <c r="G11" i="37" s="1"/>
  <c r="D11" i="37"/>
  <c r="H10" i="37"/>
  <c r="H9" i="37"/>
  <c r="G9" i="37"/>
  <c r="G8" i="37"/>
  <c r="D8" i="37"/>
  <c r="H8" i="37" s="1"/>
  <c r="J19" i="36"/>
  <c r="I19" i="36"/>
  <c r="H19" i="36"/>
  <c r="G19" i="36"/>
  <c r="F19" i="36"/>
  <c r="H23" i="131"/>
  <c r="H24" i="131"/>
  <c r="L32" i="131"/>
  <c r="G32" i="131"/>
  <c r="H32" i="131" s="1"/>
  <c r="L31" i="131"/>
  <c r="G31" i="131"/>
  <c r="H31" i="131" s="1"/>
  <c r="L30" i="131"/>
  <c r="G30" i="131"/>
  <c r="H30" i="131" s="1"/>
  <c r="K29" i="131"/>
  <c r="J29" i="131"/>
  <c r="I29" i="131"/>
  <c r="F29" i="131"/>
  <c r="E29" i="131"/>
  <c r="D29" i="131"/>
  <c r="L28" i="131"/>
  <c r="G28" i="131"/>
  <c r="H28" i="131" s="1"/>
  <c r="L27" i="131"/>
  <c r="G27" i="131"/>
  <c r="L26" i="131"/>
  <c r="G26" i="131"/>
  <c r="H26" i="131" s="1"/>
  <c r="L25" i="131"/>
  <c r="G25" i="131"/>
  <c r="H25" i="131" s="1"/>
  <c r="L24" i="131"/>
  <c r="G24" i="131"/>
  <c r="L23" i="131"/>
  <c r="G23" i="131"/>
  <c r="L22" i="131"/>
  <c r="G22" i="131"/>
  <c r="H22" i="131" s="1"/>
  <c r="L21" i="131"/>
  <c r="G21" i="131"/>
  <c r="H21" i="131" s="1"/>
  <c r="L20" i="131"/>
  <c r="G20" i="131"/>
  <c r="H20" i="131" s="1"/>
  <c r="L19" i="131"/>
  <c r="G19" i="131"/>
  <c r="H19" i="131" s="1"/>
  <c r="L18" i="131"/>
  <c r="G18" i="131"/>
  <c r="H18" i="131" s="1"/>
  <c r="L17" i="131"/>
  <c r="G17" i="131"/>
  <c r="H17" i="131" s="1"/>
  <c r="L16" i="131"/>
  <c r="G16" i="131"/>
  <c r="H16" i="131" s="1"/>
  <c r="L15" i="131"/>
  <c r="G15" i="131"/>
  <c r="H15" i="131" s="1"/>
  <c r="L14" i="131"/>
  <c r="G14" i="131"/>
  <c r="H14" i="131" s="1"/>
  <c r="L13" i="131"/>
  <c r="G13" i="131"/>
  <c r="H13" i="131" s="1"/>
  <c r="L12" i="131"/>
  <c r="G12" i="131"/>
  <c r="H12" i="131" s="1"/>
  <c r="L11" i="131"/>
  <c r="G11" i="131"/>
  <c r="H11" i="131" s="1"/>
  <c r="L10" i="131"/>
  <c r="G10" i="131"/>
  <c r="H10" i="131" s="1"/>
  <c r="L9" i="131"/>
  <c r="G9" i="131"/>
  <c r="H9" i="131" s="1"/>
  <c r="L8" i="131"/>
  <c r="G8" i="131"/>
  <c r="H8" i="131" s="1"/>
  <c r="K7" i="131"/>
  <c r="J7" i="131"/>
  <c r="I7" i="131"/>
  <c r="F7" i="131"/>
  <c r="E7" i="131"/>
  <c r="D7" i="131"/>
  <c r="H28" i="141" l="1"/>
  <c r="H39" i="141"/>
  <c r="H38" i="141"/>
  <c r="H33" i="141"/>
  <c r="H18" i="141"/>
  <c r="G45" i="141"/>
  <c r="M13" i="139"/>
  <c r="H19" i="137"/>
  <c r="K18" i="51"/>
  <c r="K20" i="51"/>
  <c r="K19" i="51"/>
  <c r="K23" i="51"/>
  <c r="K16" i="51"/>
  <c r="K21" i="51"/>
  <c r="K16" i="40"/>
  <c r="G10" i="37"/>
  <c r="G12" i="37" s="1"/>
  <c r="M29" i="131"/>
  <c r="H42" i="123"/>
  <c r="G36" i="123"/>
  <c r="G37" i="123"/>
  <c r="G35" i="123"/>
  <c r="G38" i="123"/>
  <c r="G39" i="123"/>
  <c r="G40" i="123"/>
  <c r="G27" i="123"/>
  <c r="G31" i="123"/>
  <c r="G26" i="123"/>
  <c r="G28" i="123"/>
  <c r="G30" i="123"/>
  <c r="G32" i="123"/>
  <c r="G29" i="123"/>
  <c r="G42" i="123"/>
  <c r="G22" i="123"/>
  <c r="H12" i="144"/>
  <c r="H28" i="136"/>
  <c r="H8" i="135"/>
  <c r="G8" i="97"/>
  <c r="D20" i="144"/>
  <c r="E9" i="144" s="1"/>
  <c r="K19" i="39"/>
  <c r="M19" i="39" s="1"/>
  <c r="D33" i="131"/>
  <c r="F33" i="131"/>
  <c r="E33" i="131"/>
  <c r="E9" i="143"/>
  <c r="E18" i="143"/>
  <c r="E19" i="144"/>
  <c r="H17" i="144"/>
  <c r="F20" i="144"/>
  <c r="F20" i="143"/>
  <c r="H12" i="143"/>
  <c r="E17" i="143"/>
  <c r="E16" i="143"/>
  <c r="E15" i="143"/>
  <c r="E19" i="143"/>
  <c r="E10" i="143"/>
  <c r="E12" i="143"/>
  <c r="E11" i="143"/>
  <c r="I18" i="141"/>
  <c r="E45" i="141"/>
  <c r="E47" i="141" s="1"/>
  <c r="F18" i="141"/>
  <c r="F21" i="136"/>
  <c r="F12" i="136"/>
  <c r="F19" i="136"/>
  <c r="F25" i="136"/>
  <c r="F23" i="136"/>
  <c r="F26" i="136"/>
  <c r="F20" i="136"/>
  <c r="F11" i="136"/>
  <c r="F24" i="136"/>
  <c r="F15" i="136"/>
  <c r="F17" i="136"/>
  <c r="F14" i="136"/>
  <c r="F27" i="136"/>
  <c r="F18" i="136"/>
  <c r="F9" i="136"/>
  <c r="F13" i="136"/>
  <c r="F8" i="136"/>
  <c r="H35" i="136"/>
  <c r="F16" i="136"/>
  <c r="K13" i="51"/>
  <c r="K22" i="51"/>
  <c r="K17" i="51"/>
  <c r="K12" i="51"/>
  <c r="K10" i="51"/>
  <c r="K24" i="51"/>
  <c r="L21" i="51"/>
  <c r="F25" i="51"/>
  <c r="L25" i="51" s="1"/>
  <c r="G14" i="51"/>
  <c r="K11" i="51"/>
  <c r="J23" i="50"/>
  <c r="K16" i="50" s="1"/>
  <c r="L16" i="50"/>
  <c r="L21" i="50"/>
  <c r="K21" i="50"/>
  <c r="G11" i="50"/>
  <c r="G14" i="50"/>
  <c r="G16" i="50"/>
  <c r="G23" i="50" s="1"/>
  <c r="G38" i="99"/>
  <c r="L45" i="99"/>
  <c r="G45" i="99"/>
  <c r="G35" i="99"/>
  <c r="G19" i="99"/>
  <c r="G32" i="99"/>
  <c r="G41" i="99"/>
  <c r="G42" i="99"/>
  <c r="G47" i="99"/>
  <c r="G44" i="99"/>
  <c r="F49" i="99"/>
  <c r="L21" i="99"/>
  <c r="G21" i="99"/>
  <c r="G37" i="99"/>
  <c r="L37" i="99"/>
  <c r="G13" i="99"/>
  <c r="G43" i="99"/>
  <c r="G11" i="99"/>
  <c r="G31" i="99"/>
  <c r="G34" i="99"/>
  <c r="G17" i="99"/>
  <c r="L16" i="99"/>
  <c r="G16" i="99"/>
  <c r="G48" i="99"/>
  <c r="G25" i="99"/>
  <c r="G26" i="99"/>
  <c r="G20" i="99"/>
  <c r="G46" i="99"/>
  <c r="G10" i="99"/>
  <c r="G24" i="99"/>
  <c r="G28" i="99"/>
  <c r="G33" i="99"/>
  <c r="H8" i="81"/>
  <c r="H11" i="81"/>
  <c r="H10" i="81"/>
  <c r="G22" i="81"/>
  <c r="H9" i="81"/>
  <c r="H19" i="81"/>
  <c r="H18" i="81"/>
  <c r="H20" i="81"/>
  <c r="H17" i="81"/>
  <c r="H16" i="81"/>
  <c r="H21" i="81" s="1"/>
  <c r="G10" i="41"/>
  <c r="L11" i="41"/>
  <c r="G9" i="41"/>
  <c r="G11" i="41" s="1"/>
  <c r="K8" i="41"/>
  <c r="K11" i="41" s="1"/>
  <c r="G19" i="39"/>
  <c r="M40" i="39"/>
  <c r="G36" i="39"/>
  <c r="M47" i="39"/>
  <c r="M20" i="39"/>
  <c r="M9" i="39"/>
  <c r="K29" i="39"/>
  <c r="L9" i="39" s="1"/>
  <c r="K48" i="39"/>
  <c r="L36" i="39" s="1"/>
  <c r="D8" i="97"/>
  <c r="H11" i="37"/>
  <c r="D12" i="37"/>
  <c r="E8" i="37"/>
  <c r="J33" i="131"/>
  <c r="G7" i="131"/>
  <c r="L29" i="131"/>
  <c r="K33" i="131"/>
  <c r="G29" i="131"/>
  <c r="H29" i="131" s="1"/>
  <c r="L7" i="131"/>
  <c r="I33" i="131"/>
  <c r="K14" i="51" l="1"/>
  <c r="K25" i="51" s="1"/>
  <c r="H13" i="81"/>
  <c r="L47" i="39"/>
  <c r="L48" i="39" s="1"/>
  <c r="L40" i="39"/>
  <c r="L19" i="39"/>
  <c r="M33" i="131"/>
  <c r="E17" i="144"/>
  <c r="E11" i="144"/>
  <c r="E10" i="144"/>
  <c r="E16" i="144"/>
  <c r="H8" i="97"/>
  <c r="E12" i="144"/>
  <c r="E18" i="144"/>
  <c r="E15" i="144"/>
  <c r="E14" i="144"/>
  <c r="E20" i="143"/>
  <c r="G33" i="131"/>
  <c r="H33" i="131" s="1"/>
  <c r="H20" i="144"/>
  <c r="G10" i="144"/>
  <c r="G18" i="144"/>
  <c r="G19" i="144"/>
  <c r="G16" i="144"/>
  <c r="G14" i="144"/>
  <c r="G12" i="144"/>
  <c r="G11" i="144"/>
  <c r="G15" i="144"/>
  <c r="G9" i="144"/>
  <c r="G17" i="144"/>
  <c r="H20" i="143"/>
  <c r="G10" i="143"/>
  <c r="G14" i="143"/>
  <c r="G19" i="143"/>
  <c r="G15" i="143"/>
  <c r="G17" i="143"/>
  <c r="G9" i="143"/>
  <c r="G18" i="143"/>
  <c r="G16" i="143"/>
  <c r="G11" i="143"/>
  <c r="G12" i="143"/>
  <c r="G47" i="141"/>
  <c r="I45" i="141"/>
  <c r="F28" i="136"/>
  <c r="G16" i="51"/>
  <c r="G23" i="51"/>
  <c r="G19" i="51"/>
  <c r="G20" i="51"/>
  <c r="G22" i="51"/>
  <c r="G10" i="51"/>
  <c r="G13" i="51"/>
  <c r="G12" i="51"/>
  <c r="G18" i="51"/>
  <c r="G24" i="51"/>
  <c r="G21" i="51"/>
  <c r="G25" i="51" s="1"/>
  <c r="L23" i="50"/>
  <c r="K14" i="50"/>
  <c r="K22" i="50"/>
  <c r="K23" i="50" s="1"/>
  <c r="K18" i="50"/>
  <c r="K19" i="50"/>
  <c r="K12" i="50"/>
  <c r="K15" i="50"/>
  <c r="K10" i="50"/>
  <c r="K11" i="50"/>
  <c r="K13" i="50"/>
  <c r="K20" i="50"/>
  <c r="F51" i="99"/>
  <c r="L51" i="99" s="1"/>
  <c r="L49" i="99"/>
  <c r="G48" i="39"/>
  <c r="M48" i="39" s="1"/>
  <c r="M36" i="39"/>
  <c r="L38" i="39"/>
  <c r="L33" i="39"/>
  <c r="L45" i="39"/>
  <c r="L35" i="39"/>
  <c r="L41" i="39"/>
  <c r="L44" i="39"/>
  <c r="L46" i="39"/>
  <c r="L37" i="39"/>
  <c r="L39" i="39"/>
  <c r="L34" i="39"/>
  <c r="L42" i="39"/>
  <c r="L31" i="39"/>
  <c r="L43" i="39"/>
  <c r="L32" i="39"/>
  <c r="L28" i="39"/>
  <c r="L14" i="39"/>
  <c r="L12" i="39"/>
  <c r="L21" i="39"/>
  <c r="L23" i="39"/>
  <c r="L16" i="39"/>
  <c r="L20" i="39"/>
  <c r="L27" i="39"/>
  <c r="L26" i="39"/>
  <c r="L22" i="39"/>
  <c r="L24" i="39"/>
  <c r="L15" i="39"/>
  <c r="L17" i="39"/>
  <c r="L10" i="39"/>
  <c r="L18" i="39"/>
  <c r="L11" i="39"/>
  <c r="L13" i="39"/>
  <c r="L25" i="39"/>
  <c r="G29" i="39"/>
  <c r="E10" i="37"/>
  <c r="E9" i="37"/>
  <c r="E12" i="37" s="1"/>
  <c r="H12" i="37"/>
  <c r="E11" i="37"/>
  <c r="L33" i="131"/>
  <c r="L29" i="39" l="1"/>
  <c r="E20" i="144"/>
  <c r="G20" i="143"/>
  <c r="G20" i="144"/>
  <c r="I47" i="141"/>
  <c r="H21" i="39"/>
  <c r="H17" i="39"/>
  <c r="H14" i="39"/>
  <c r="H12" i="39"/>
  <c r="H26" i="39"/>
  <c r="H13" i="39"/>
  <c r="H24" i="39"/>
  <c r="H27" i="39"/>
  <c r="H18" i="39"/>
  <c r="H10" i="39"/>
  <c r="H28" i="39"/>
  <c r="H22" i="39"/>
  <c r="H16" i="39"/>
  <c r="H9" i="39"/>
  <c r="H23" i="39"/>
  <c r="H25" i="39"/>
  <c r="H15" i="39"/>
  <c r="H11" i="39"/>
  <c r="H20" i="39"/>
  <c r="H19" i="39"/>
  <c r="M29" i="39"/>
  <c r="H45" i="39"/>
  <c r="H39" i="39"/>
  <c r="H46" i="39"/>
  <c r="H35" i="39"/>
  <c r="H40" i="39"/>
  <c r="H38" i="39"/>
  <c r="H33" i="39"/>
  <c r="H43" i="39"/>
  <c r="H37" i="39"/>
  <c r="H42" i="39"/>
  <c r="H32" i="39"/>
  <c r="H41" i="39"/>
  <c r="H34" i="39"/>
  <c r="H44" i="39"/>
  <c r="H31" i="39"/>
  <c r="H47" i="39"/>
  <c r="H36" i="39"/>
  <c r="H48" i="39" s="1"/>
  <c r="D71" i="130"/>
  <c r="D59" i="130"/>
  <c r="F37" i="130"/>
  <c r="H37" i="130" s="1"/>
  <c r="D37" i="130"/>
  <c r="F26" i="130"/>
  <c r="H26" i="130" s="1"/>
  <c r="D26" i="130"/>
  <c r="F20" i="130"/>
  <c r="H20" i="130" s="1"/>
  <c r="D20" i="130"/>
  <c r="F19" i="130"/>
  <c r="H19" i="130" s="1"/>
  <c r="D19" i="130"/>
  <c r="F13" i="130"/>
  <c r="H13" i="130" s="1"/>
  <c r="D13" i="130"/>
  <c r="H8" i="119"/>
  <c r="F9" i="130"/>
  <c r="D9" i="130"/>
  <c r="H9" i="130" l="1"/>
  <c r="H29" i="39"/>
  <c r="D64" i="130"/>
  <c r="D16" i="130"/>
  <c r="D57" i="130" s="1"/>
  <c r="D65" i="130" s="1"/>
  <c r="F16" i="130"/>
  <c r="G16" i="130" l="1"/>
  <c r="H16" i="130"/>
  <c r="F57" i="130"/>
  <c r="D50" i="130"/>
  <c r="G57" i="130" l="1"/>
  <c r="H57" i="130"/>
  <c r="G66" i="130"/>
  <c r="G14" i="130"/>
  <c r="G28" i="130"/>
  <c r="G42" i="130"/>
  <c r="G53" i="130"/>
  <c r="G47" i="130"/>
  <c r="G34" i="130"/>
  <c r="G61" i="130"/>
  <c r="G62" i="130"/>
  <c r="G39" i="130"/>
  <c r="G27" i="130"/>
  <c r="G58" i="130"/>
  <c r="G15" i="130"/>
  <c r="G29" i="130"/>
  <c r="G43" i="130"/>
  <c r="G32" i="130"/>
  <c r="G19" i="130"/>
  <c r="G20" i="130"/>
  <c r="G67" i="130"/>
  <c r="G38" i="130"/>
  <c r="G11" i="130"/>
  <c r="G13" i="130"/>
  <c r="G30" i="130"/>
  <c r="G44" i="130"/>
  <c r="G18" i="130"/>
  <c r="G54" i="130"/>
  <c r="G55" i="130"/>
  <c r="G23" i="130"/>
  <c r="G10" i="130"/>
  <c r="G63" i="130"/>
  <c r="G40" i="130"/>
  <c r="G52" i="130"/>
  <c r="G17" i="130"/>
  <c r="G31" i="130"/>
  <c r="G45" i="130"/>
  <c r="G46" i="130"/>
  <c r="G33" i="130"/>
  <c r="G48" i="130"/>
  <c r="G12" i="130"/>
  <c r="G41" i="130"/>
  <c r="G59" i="130"/>
  <c r="G56" i="130"/>
  <c r="G21" i="130"/>
  <c r="G35" i="130"/>
  <c r="G49" i="130"/>
  <c r="G51" i="130"/>
  <c r="G22" i="130"/>
  <c r="G36" i="130"/>
  <c r="G37" i="130"/>
  <c r="G25" i="130"/>
  <c r="G64" i="130"/>
  <c r="G60" i="130"/>
  <c r="G24" i="130"/>
  <c r="G26" i="130"/>
  <c r="G65" i="130"/>
  <c r="H50" i="130"/>
  <c r="G9" i="130"/>
  <c r="D72" i="130"/>
  <c r="N20" i="122"/>
  <c r="L20" i="122"/>
  <c r="J20" i="122"/>
  <c r="H20" i="122"/>
  <c r="M20" i="122"/>
  <c r="K20" i="122"/>
  <c r="I20" i="122"/>
  <c r="G20" i="122"/>
  <c r="F20" i="122"/>
  <c r="G50" i="130" l="1"/>
  <c r="E11" i="96"/>
  <c r="D11" i="96"/>
  <c r="K12" i="23"/>
  <c r="F22" i="15"/>
  <c r="D22" i="28" l="1"/>
  <c r="I11" i="79" l="1"/>
  <c r="I9" i="69"/>
  <c r="F10" i="96" l="1"/>
  <c r="H10" i="29" l="1"/>
  <c r="H18" i="28"/>
  <c r="H9" i="119" l="1"/>
  <c r="H10" i="119"/>
  <c r="H11" i="119"/>
  <c r="H12" i="119"/>
  <c r="H13" i="119"/>
  <c r="H14" i="119"/>
  <c r="H15" i="119"/>
  <c r="F16" i="119"/>
  <c r="G10" i="119" s="1"/>
  <c r="D16" i="119"/>
  <c r="E9" i="119" s="1"/>
  <c r="D20" i="30"/>
  <c r="D19" i="30"/>
  <c r="D18" i="30"/>
  <c r="D17" i="30"/>
  <c r="D16" i="30"/>
  <c r="E16" i="30"/>
  <c r="G15" i="119" l="1"/>
  <c r="G14" i="119"/>
  <c r="G11" i="119"/>
  <c r="E15" i="119"/>
  <c r="E12" i="119"/>
  <c r="E11" i="119"/>
  <c r="E8" i="119"/>
  <c r="E14" i="119"/>
  <c r="E10" i="119"/>
  <c r="H16" i="119"/>
  <c r="E13" i="119"/>
  <c r="G13" i="119"/>
  <c r="G9" i="119"/>
  <c r="G8" i="119"/>
  <c r="G12" i="119"/>
  <c r="E19" i="30"/>
  <c r="E18" i="30"/>
  <c r="E17" i="30"/>
  <c r="E20" i="30"/>
  <c r="G16" i="119" l="1"/>
  <c r="E16" i="119"/>
  <c r="H12" i="9"/>
  <c r="H13" i="9"/>
  <c r="H20" i="28"/>
  <c r="H21" i="28"/>
  <c r="H19" i="28" l="1"/>
  <c r="H13" i="28"/>
  <c r="H11" i="28"/>
  <c r="H12" i="28"/>
  <c r="H13" i="12"/>
  <c r="H14" i="12"/>
  <c r="H13" i="118"/>
  <c r="E9" i="31"/>
  <c r="H17" i="29"/>
  <c r="H18" i="29"/>
  <c r="H19" i="29"/>
  <c r="D11" i="109"/>
  <c r="D12" i="109"/>
  <c r="D20" i="29" l="1"/>
  <c r="D14" i="118"/>
  <c r="F14" i="118" l="1"/>
  <c r="G10" i="118" s="1"/>
  <c r="E13" i="118"/>
  <c r="H12" i="118"/>
  <c r="H11" i="118"/>
  <c r="H10" i="118"/>
  <c r="H9" i="118"/>
  <c r="H8" i="118"/>
  <c r="G8" i="5"/>
  <c r="D8" i="5"/>
  <c r="H8" i="3"/>
  <c r="H9" i="2"/>
  <c r="H8" i="2"/>
  <c r="G11" i="118" l="1"/>
  <c r="G9" i="118"/>
  <c r="E8" i="118"/>
  <c r="E10" i="118"/>
  <c r="G13" i="118"/>
  <c r="E12" i="118"/>
  <c r="H14" i="118"/>
  <c r="G8" i="118"/>
  <c r="E11" i="118"/>
  <c r="G12" i="118"/>
  <c r="E9" i="118"/>
  <c r="G14" i="118" l="1"/>
  <c r="E14" i="118"/>
  <c r="F14" i="28" l="1"/>
  <c r="G11" i="67"/>
  <c r="I14" i="115"/>
  <c r="I15" i="115"/>
  <c r="H14" i="115"/>
  <c r="H15" i="115"/>
  <c r="F11" i="96"/>
  <c r="E8" i="95"/>
  <c r="D16" i="115" l="1"/>
  <c r="I12" i="117" l="1"/>
  <c r="I13" i="117"/>
  <c r="H12" i="117"/>
  <c r="H13" i="117"/>
  <c r="I12" i="115" l="1"/>
  <c r="H12" i="115"/>
  <c r="G15" i="117" l="1"/>
  <c r="F15" i="117"/>
  <c r="F9" i="96"/>
  <c r="F8" i="11" l="1"/>
  <c r="I14" i="67"/>
  <c r="L12" i="23"/>
  <c r="I10" i="117" l="1"/>
  <c r="I11" i="117"/>
  <c r="I14" i="117"/>
  <c r="I9" i="117"/>
  <c r="H10" i="117"/>
  <c r="H11" i="117"/>
  <c r="H14" i="117"/>
  <c r="H9" i="117"/>
  <c r="E15" i="117"/>
  <c r="D15" i="117"/>
  <c r="I10" i="115"/>
  <c r="I11" i="115"/>
  <c r="I13" i="115"/>
  <c r="H9" i="115"/>
  <c r="H10" i="115"/>
  <c r="H11" i="115"/>
  <c r="H13" i="115"/>
  <c r="E16" i="115"/>
  <c r="F16" i="115"/>
  <c r="G16" i="115"/>
  <c r="E9" i="114"/>
  <c r="D9" i="114"/>
  <c r="F8" i="114"/>
  <c r="F7" i="114"/>
  <c r="H15" i="117" l="1"/>
  <c r="H16" i="115"/>
  <c r="I16" i="115"/>
  <c r="I15" i="117"/>
  <c r="E22" i="109" l="1"/>
  <c r="D22" i="109"/>
  <c r="E21" i="109"/>
  <c r="D21" i="109"/>
  <c r="F20" i="109"/>
  <c r="F19" i="109"/>
  <c r="E17" i="109"/>
  <c r="D17" i="109"/>
  <c r="E16" i="109"/>
  <c r="D16" i="109"/>
  <c r="F15" i="109"/>
  <c r="F14" i="109"/>
  <c r="E12" i="109"/>
  <c r="E11" i="109"/>
  <c r="F10" i="109"/>
  <c r="F9" i="109"/>
  <c r="L24" i="35" l="1"/>
  <c r="M24" i="35"/>
  <c r="M23" i="35"/>
  <c r="L23" i="35"/>
  <c r="E14" i="54" l="1"/>
  <c r="F11" i="11"/>
  <c r="F14" i="11" s="1"/>
  <c r="H10" i="68" l="1"/>
  <c r="L20" i="35"/>
  <c r="E14" i="95"/>
  <c r="H9" i="3"/>
  <c r="H10" i="3"/>
  <c r="F11" i="3"/>
  <c r="D11" i="3"/>
  <c r="E9" i="3" s="1"/>
  <c r="F10" i="2"/>
  <c r="D10" i="2"/>
  <c r="E14" i="55"/>
  <c r="F14" i="55"/>
  <c r="G14" i="55"/>
  <c r="D14" i="55"/>
  <c r="E10" i="55"/>
  <c r="F10" i="55"/>
  <c r="G10" i="55"/>
  <c r="D10" i="55"/>
  <c r="F8" i="96"/>
  <c r="D14" i="95"/>
  <c r="D8" i="95"/>
  <c r="D10" i="27"/>
  <c r="E10" i="27"/>
  <c r="H31" i="35"/>
  <c r="G9" i="2" l="1"/>
  <c r="G8" i="2"/>
  <c r="E9" i="2"/>
  <c r="H10" i="2"/>
  <c r="F8" i="95"/>
  <c r="D17" i="95"/>
  <c r="H11" i="3"/>
  <c r="E8" i="2"/>
  <c r="E10" i="2" s="1"/>
  <c r="G8" i="3"/>
  <c r="G9" i="3"/>
  <c r="E10" i="3"/>
  <c r="E8" i="3"/>
  <c r="E11" i="3" s="1"/>
  <c r="G10" i="3"/>
  <c r="F9" i="95"/>
  <c r="F10" i="95"/>
  <c r="F11" i="95"/>
  <c r="F12" i="95"/>
  <c r="F13" i="95"/>
  <c r="G11" i="3" l="1"/>
  <c r="G10" i="2"/>
  <c r="I12" i="67"/>
  <c r="F12" i="67"/>
  <c r="E12" i="92"/>
  <c r="E14" i="92" s="1"/>
  <c r="D12" i="92"/>
  <c r="D14" i="92" s="1"/>
  <c r="F13" i="92"/>
  <c r="F11" i="92"/>
  <c r="F9" i="92"/>
  <c r="F8" i="92"/>
  <c r="F12" i="92" l="1"/>
  <c r="E9" i="18" l="1"/>
  <c r="G17" i="22" l="1"/>
  <c r="F20" i="15" l="1"/>
  <c r="F19" i="15"/>
  <c r="F21" i="15"/>
  <c r="F18" i="15"/>
  <c r="D9" i="18" l="1"/>
  <c r="D11" i="11" l="1"/>
  <c r="D8" i="11"/>
  <c r="G11" i="79"/>
  <c r="F11" i="79"/>
  <c r="E11" i="79"/>
  <c r="D11" i="79"/>
  <c r="J9" i="23" l="1"/>
  <c r="G15" i="67" l="1"/>
  <c r="H11" i="79" l="1"/>
  <c r="J31" i="35" l="1"/>
  <c r="F31" i="35"/>
  <c r="M10" i="35" l="1"/>
  <c r="L10" i="35"/>
  <c r="F7" i="31"/>
  <c r="H9" i="29"/>
  <c r="L9" i="23" l="1"/>
  <c r="K9" i="23"/>
  <c r="H8" i="16"/>
  <c r="H8" i="14"/>
  <c r="F8" i="13"/>
  <c r="H9" i="10" l="1"/>
  <c r="H8" i="9"/>
  <c r="J8" i="7"/>
  <c r="H8" i="4"/>
  <c r="F10" i="27" l="1"/>
  <c r="H21" i="69" l="1"/>
  <c r="H20" i="69"/>
  <c r="H19" i="69"/>
  <c r="I9" i="67" l="1"/>
  <c r="I10" i="67"/>
  <c r="I13" i="67"/>
  <c r="I8" i="67"/>
  <c r="F9" i="67"/>
  <c r="F10" i="67"/>
  <c r="F13" i="67"/>
  <c r="F14" i="67"/>
  <c r="F8" i="67"/>
  <c r="I10" i="69"/>
  <c r="I11" i="69"/>
  <c r="I14" i="69"/>
  <c r="I15" i="69"/>
  <c r="I16" i="69"/>
  <c r="F10" i="69"/>
  <c r="F11" i="69"/>
  <c r="F14" i="69"/>
  <c r="F15" i="69"/>
  <c r="F16" i="69"/>
  <c r="F9" i="69"/>
  <c r="I14" i="22"/>
  <c r="I15" i="22"/>
  <c r="I16" i="22"/>
  <c r="I13" i="22"/>
  <c r="I9" i="22"/>
  <c r="I10" i="22"/>
  <c r="I11" i="22"/>
  <c r="I8" i="22"/>
  <c r="F9" i="22"/>
  <c r="F10" i="22"/>
  <c r="F11" i="22"/>
  <c r="F13" i="22"/>
  <c r="F14" i="22"/>
  <c r="F15" i="22"/>
  <c r="F16" i="22"/>
  <c r="F8" i="22"/>
  <c r="E9" i="54"/>
  <c r="D9" i="54"/>
  <c r="H8" i="32" l="1"/>
  <c r="F8" i="31"/>
  <c r="D9" i="31"/>
  <c r="H9" i="28"/>
  <c r="H12" i="69" l="1"/>
  <c r="H17" i="69"/>
  <c r="H22" i="69"/>
  <c r="D12" i="69"/>
  <c r="D17" i="69"/>
  <c r="D19" i="69"/>
  <c r="D20" i="69"/>
  <c r="D21" i="69"/>
  <c r="E12" i="69"/>
  <c r="G12" i="69"/>
  <c r="E17" i="69"/>
  <c r="G17" i="69"/>
  <c r="E19" i="69"/>
  <c r="G19" i="69"/>
  <c r="I19" i="69" s="1"/>
  <c r="E20" i="69"/>
  <c r="G20" i="69"/>
  <c r="I20" i="69" s="1"/>
  <c r="E21" i="69"/>
  <c r="G21" i="69"/>
  <c r="I21" i="69" s="1"/>
  <c r="H9" i="68"/>
  <c r="H11" i="68"/>
  <c r="H12" i="68"/>
  <c r="H13" i="68"/>
  <c r="H14" i="68"/>
  <c r="F19" i="69" l="1"/>
  <c r="F21" i="69"/>
  <c r="F12" i="69"/>
  <c r="F17" i="69"/>
  <c r="D22" i="69"/>
  <c r="F20" i="69"/>
  <c r="I17" i="69"/>
  <c r="I12" i="69"/>
  <c r="E22" i="69"/>
  <c r="G22" i="69"/>
  <c r="I22" i="69" s="1"/>
  <c r="H8" i="68"/>
  <c r="F15" i="68"/>
  <c r="D15" i="68"/>
  <c r="E12" i="68" s="1"/>
  <c r="F22" i="69" l="1"/>
  <c r="E13" i="68"/>
  <c r="E9" i="68"/>
  <c r="H15" i="68"/>
  <c r="E14" i="68"/>
  <c r="E11" i="68"/>
  <c r="E8" i="68"/>
  <c r="E10" i="68"/>
  <c r="G13" i="68"/>
  <c r="G11" i="68"/>
  <c r="G8" i="68"/>
  <c r="G10" i="68"/>
  <c r="G14" i="68"/>
  <c r="G9" i="68"/>
  <c r="G12" i="68"/>
  <c r="H17" i="22"/>
  <c r="E17" i="22"/>
  <c r="D17" i="22"/>
  <c r="E11" i="67"/>
  <c r="D11" i="67"/>
  <c r="H11" i="67"/>
  <c r="E15" i="68" l="1"/>
  <c r="F11" i="67"/>
  <c r="I17" i="22"/>
  <c r="F17" i="22"/>
  <c r="G15" i="68"/>
  <c r="E15" i="67"/>
  <c r="D15" i="67"/>
  <c r="D16" i="67" s="1"/>
  <c r="H15" i="67"/>
  <c r="H16" i="67" l="1"/>
  <c r="I15" i="67"/>
  <c r="F15" i="67"/>
  <c r="E16" i="67"/>
  <c r="F16" i="67" s="1"/>
  <c r="G16" i="67"/>
  <c r="I11" i="67"/>
  <c r="H12" i="22"/>
  <c r="H18" i="22" s="1"/>
  <c r="G12" i="22"/>
  <c r="E12" i="22"/>
  <c r="D12" i="22"/>
  <c r="D18" i="22" s="1"/>
  <c r="I16" i="67" l="1"/>
  <c r="F12" i="22"/>
  <c r="I12" i="22"/>
  <c r="E18" i="22"/>
  <c r="F18" i="22" s="1"/>
  <c r="G18" i="22"/>
  <c r="I18" i="22" s="1"/>
  <c r="F12" i="16" l="1"/>
  <c r="G10" i="16" l="1"/>
  <c r="G11" i="16"/>
  <c r="G8" i="16"/>
  <c r="D10" i="13"/>
  <c r="H8" i="11"/>
  <c r="G12" i="16" l="1"/>
  <c r="H10" i="16"/>
  <c r="H11" i="16"/>
  <c r="F10" i="15"/>
  <c r="F11" i="15"/>
  <c r="F14" i="15"/>
  <c r="F15" i="15"/>
  <c r="F16" i="15"/>
  <c r="F17" i="15"/>
  <c r="F25" i="15"/>
  <c r="E24" i="15"/>
  <c r="E9" i="15"/>
  <c r="E8" i="15" l="1"/>
  <c r="D24" i="15"/>
  <c r="F24" i="15" s="1"/>
  <c r="D9" i="15"/>
  <c r="F9" i="15" s="1"/>
  <c r="E7" i="15" l="1"/>
  <c r="D8" i="15"/>
  <c r="D7" i="15" s="1"/>
  <c r="F8" i="15" l="1"/>
  <c r="F7" i="15"/>
  <c r="D31" i="35" l="1"/>
  <c r="D14" i="32"/>
  <c r="D11" i="32"/>
  <c r="G10" i="27"/>
  <c r="D12" i="16"/>
  <c r="D10" i="14"/>
  <c r="E9" i="14" s="1"/>
  <c r="D14" i="9"/>
  <c r="E12" i="9" l="1"/>
  <c r="E13" i="9"/>
  <c r="E8" i="9"/>
  <c r="D15" i="32"/>
  <c r="E8" i="32" s="1"/>
  <c r="H12" i="16"/>
  <c r="E8" i="14"/>
  <c r="E10" i="14" s="1"/>
  <c r="E10" i="9"/>
  <c r="E9" i="9"/>
  <c r="E11" i="9"/>
  <c r="E14" i="9" l="1"/>
  <c r="E11" i="32"/>
  <c r="E10" i="32"/>
  <c r="E14" i="32"/>
  <c r="E12" i="32"/>
  <c r="E13" i="32"/>
  <c r="E9" i="32"/>
  <c r="E15" i="32" l="1"/>
  <c r="D15" i="12" l="1"/>
  <c r="D14" i="11"/>
  <c r="D14" i="10"/>
  <c r="E14" i="12" l="1"/>
  <c r="E13" i="12"/>
  <c r="E12" i="12"/>
  <c r="E8" i="12"/>
  <c r="E11" i="12"/>
  <c r="E10" i="12"/>
  <c r="E9" i="12"/>
  <c r="D12" i="8"/>
  <c r="F12" i="8"/>
  <c r="I12" i="8"/>
  <c r="G10" i="7"/>
  <c r="D10" i="7"/>
  <c r="E10" i="7"/>
  <c r="D12" i="4"/>
  <c r="E8" i="4" l="1"/>
  <c r="E11" i="4"/>
  <c r="E9" i="4"/>
  <c r="E10" i="4"/>
  <c r="E15" i="12"/>
  <c r="E10" i="8"/>
  <c r="E11" i="8"/>
  <c r="E9" i="8"/>
  <c r="E8" i="8"/>
  <c r="F9" i="7"/>
  <c r="F8" i="7"/>
  <c r="F10" i="7" l="1"/>
  <c r="E12" i="8"/>
  <c r="E12" i="4"/>
  <c r="F16" i="23" l="1"/>
  <c r="E16" i="23"/>
  <c r="D16" i="23"/>
  <c r="F21" i="35" l="1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E10" i="10"/>
  <c r="E11" i="10"/>
  <c r="E12" i="10"/>
  <c r="E13" i="10"/>
  <c r="E9" i="10"/>
  <c r="E9" i="11"/>
  <c r="E10" i="11"/>
  <c r="E12" i="11"/>
  <c r="E13" i="11"/>
  <c r="F14" i="9"/>
  <c r="G10" i="9" l="1"/>
  <c r="G12" i="9"/>
  <c r="G13" i="9"/>
  <c r="E14" i="10"/>
  <c r="E8" i="11"/>
  <c r="E11" i="11"/>
  <c r="E14" i="11" s="1"/>
  <c r="G11" i="9"/>
  <c r="G8" i="9"/>
  <c r="G9" i="9"/>
  <c r="G12" i="8"/>
  <c r="H9" i="8" s="1"/>
  <c r="J9" i="7"/>
  <c r="F12" i="4"/>
  <c r="H10" i="7"/>
  <c r="G9" i="4" l="1"/>
  <c r="G8" i="4"/>
  <c r="G14" i="9"/>
  <c r="I9" i="7"/>
  <c r="I8" i="7"/>
  <c r="J10" i="7"/>
  <c r="G10" i="4"/>
  <c r="G11" i="4"/>
  <c r="H11" i="8"/>
  <c r="H10" i="8"/>
  <c r="H8" i="8"/>
  <c r="H12" i="8" l="1"/>
  <c r="I10" i="7"/>
  <c r="G12" i="4"/>
  <c r="H9" i="4"/>
  <c r="H10" i="4"/>
  <c r="H11" i="4"/>
  <c r="H12" i="4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H9" i="32"/>
  <c r="H10" i="32"/>
  <c r="H12" i="32"/>
  <c r="H13" i="32"/>
  <c r="F11" i="32"/>
  <c r="F14" i="32"/>
  <c r="H14" i="32" s="1"/>
  <c r="H11" i="29"/>
  <c r="H12" i="29"/>
  <c r="H15" i="29"/>
  <c r="H16" i="29"/>
  <c r="F20" i="29"/>
  <c r="F13" i="29"/>
  <c r="D13" i="29"/>
  <c r="H10" i="28"/>
  <c r="H16" i="28"/>
  <c r="H17" i="28"/>
  <c r="F22" i="28"/>
  <c r="D14" i="28"/>
  <c r="J26" i="35" l="1"/>
  <c r="M26" i="35" s="1"/>
  <c r="I13" i="35"/>
  <c r="I14" i="35"/>
  <c r="H26" i="35"/>
  <c r="L26" i="35" s="1"/>
  <c r="F15" i="32"/>
  <c r="I10" i="35"/>
  <c r="K19" i="35"/>
  <c r="K13" i="35"/>
  <c r="F21" i="29"/>
  <c r="M21" i="35"/>
  <c r="H22" i="28"/>
  <c r="H14" i="28"/>
  <c r="I17" i="35"/>
  <c r="I18" i="35"/>
  <c r="I19" i="35"/>
  <c r="L21" i="35"/>
  <c r="H20" i="29"/>
  <c r="D21" i="29"/>
  <c r="D23" i="28"/>
  <c r="F23" i="28"/>
  <c r="M15" i="35"/>
  <c r="H11" i="32"/>
  <c r="H13" i="29"/>
  <c r="I11" i="35"/>
  <c r="I12" i="35"/>
  <c r="K20" i="35"/>
  <c r="K17" i="35"/>
  <c r="K14" i="35"/>
  <c r="K12" i="35"/>
  <c r="K18" i="35"/>
  <c r="L15" i="35"/>
  <c r="K10" i="35"/>
  <c r="K11" i="35"/>
  <c r="G9" i="29" l="1"/>
  <c r="G10" i="29"/>
  <c r="G11" i="29"/>
  <c r="G12" i="29"/>
  <c r="G19" i="28"/>
  <c r="G20" i="28"/>
  <c r="G21" i="28"/>
  <c r="E10" i="29"/>
  <c r="E11" i="29"/>
  <c r="E12" i="29"/>
  <c r="E9" i="29"/>
  <c r="E19" i="28"/>
  <c r="E20" i="28"/>
  <c r="G19" i="29"/>
  <c r="G17" i="29"/>
  <c r="G16" i="29"/>
  <c r="G18" i="29"/>
  <c r="G13" i="28"/>
  <c r="G17" i="28"/>
  <c r="G12" i="28"/>
  <c r="G16" i="28"/>
  <c r="G11" i="28"/>
  <c r="G9" i="28"/>
  <c r="G18" i="28"/>
  <c r="G10" i="28"/>
  <c r="G14" i="28"/>
  <c r="G22" i="28"/>
  <c r="E18" i="29"/>
  <c r="E19" i="29"/>
  <c r="E16" i="29"/>
  <c r="E17" i="29"/>
  <c r="E17" i="28"/>
  <c r="E16" i="28"/>
  <c r="E10" i="28"/>
  <c r="E12" i="28"/>
  <c r="E13" i="28"/>
  <c r="E11" i="28"/>
  <c r="E9" i="28"/>
  <c r="E18" i="28"/>
  <c r="E21" i="28"/>
  <c r="G13" i="29"/>
  <c r="G14" i="32"/>
  <c r="G12" i="32"/>
  <c r="G13" i="32"/>
  <c r="G10" i="32"/>
  <c r="G11" i="32"/>
  <c r="H15" i="32"/>
  <c r="G9" i="32"/>
  <c r="E20" i="29"/>
  <c r="E15" i="29"/>
  <c r="E13" i="29"/>
  <c r="I15" i="35"/>
  <c r="G8" i="32"/>
  <c r="K15" i="35"/>
  <c r="I21" i="35"/>
  <c r="K21" i="35"/>
  <c r="E14" i="28"/>
  <c r="H23" i="28"/>
  <c r="E22" i="28"/>
  <c r="H21" i="29"/>
  <c r="G15" i="29"/>
  <c r="G20" i="29"/>
  <c r="G23" i="28" l="1"/>
  <c r="G15" i="32"/>
  <c r="G21" i="29"/>
  <c r="E21" i="29"/>
  <c r="E23" i="28"/>
  <c r="L10" i="23"/>
  <c r="L11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F13" i="54" l="1"/>
  <c r="F9" i="54"/>
  <c r="F10" i="54"/>
  <c r="F11" i="54"/>
  <c r="F8" i="54"/>
  <c r="E12" i="54"/>
  <c r="H9" i="14"/>
  <c r="F10" i="14"/>
  <c r="F9" i="13"/>
  <c r="E10" i="13"/>
  <c r="F10" i="13" s="1"/>
  <c r="H9" i="12"/>
  <c r="H10" i="12"/>
  <c r="H11" i="12"/>
  <c r="H12" i="12"/>
  <c r="H8" i="12"/>
  <c r="F15" i="12"/>
  <c r="H9" i="11"/>
  <c r="H10" i="11"/>
  <c r="H13" i="11"/>
  <c r="H11" i="11"/>
  <c r="H11" i="10"/>
  <c r="H12" i="10"/>
  <c r="H13" i="10"/>
  <c r="G13" i="12" l="1"/>
  <c r="G8" i="14"/>
  <c r="G9" i="14"/>
  <c r="H10" i="14"/>
  <c r="H10" i="10"/>
  <c r="E11" i="16"/>
  <c r="E10" i="16"/>
  <c r="E8" i="16"/>
  <c r="G10" i="12"/>
  <c r="G11" i="12"/>
  <c r="G12" i="12"/>
  <c r="G9" i="12"/>
  <c r="G14" i="12"/>
  <c r="G8" i="12"/>
  <c r="H15" i="12"/>
  <c r="F14" i="10"/>
  <c r="H9" i="9"/>
  <c r="H10" i="9"/>
  <c r="H11" i="9"/>
  <c r="H14" i="9"/>
  <c r="E12" i="16" l="1"/>
  <c r="G10" i="14"/>
  <c r="G15" i="12"/>
  <c r="G13" i="10"/>
  <c r="G9" i="10"/>
  <c r="G12" i="10"/>
  <c r="G11" i="10"/>
  <c r="G10" i="10"/>
  <c r="G10" i="11"/>
  <c r="G12" i="11"/>
  <c r="G9" i="11"/>
  <c r="G13" i="11"/>
  <c r="H14" i="11"/>
  <c r="H14" i="10"/>
  <c r="G14" i="10" l="1"/>
  <c r="G8" i="11"/>
  <c r="G11" i="11"/>
  <c r="D14" i="54"/>
  <c r="D12" i="54"/>
  <c r="G14" i="11" l="1"/>
  <c r="E17" i="95"/>
  <c r="F17" i="95" s="1"/>
</calcChain>
</file>

<file path=xl/sharedStrings.xml><?xml version="1.0" encoding="utf-8"?>
<sst xmlns="http://schemas.openxmlformats.org/spreadsheetml/2006/main" count="3134" uniqueCount="1405">
  <si>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</si>
  <si>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</si>
  <si>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</si>
  <si>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</si>
  <si>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</si>
  <si>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</si>
  <si>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</si>
  <si>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</si>
  <si>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</si>
  <si>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</si>
  <si>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</si>
  <si>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</si>
  <si>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</si>
  <si>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</si>
  <si>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</si>
  <si>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</si>
  <si>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</si>
  <si>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</si>
  <si>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</si>
  <si>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 xml:space="preserve">                                                                                                                                                                 </t>
  </si>
  <si>
    <t>Učešće %</t>
  </si>
  <si>
    <t>Novčana sredstva</t>
  </si>
  <si>
    <t>Ostala aktiva</t>
  </si>
  <si>
    <t>Depoziti</t>
  </si>
  <si>
    <t>Ostale obaveze</t>
  </si>
  <si>
    <t>Broj banaka</t>
  </si>
  <si>
    <t>Državne</t>
  </si>
  <si>
    <t>Privatne</t>
  </si>
  <si>
    <t xml:space="preserve">                                                                                                                                                              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</si>
  <si>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</si>
  <si>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</si>
  <si>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</si>
  <si>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</si>
  <si>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</si>
  <si>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</si>
  <si>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</si>
  <si>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</si>
  <si>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</si>
  <si>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</si>
  <si>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</si>
  <si>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</si>
  <si>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</si>
  <si>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</si>
  <si>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</si>
  <si>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</si>
  <si>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</si>
  <si>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</si>
  <si>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</si>
  <si>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</si>
  <si>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</si>
  <si>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</si>
  <si>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</si>
  <si>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</si>
  <si>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</si>
  <si>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</si>
  <si>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</si>
  <si>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</si>
  <si>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</si>
  <si>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</si>
  <si>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</si>
  <si>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</si>
  <si>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</si>
  <si>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</si>
  <si>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</si>
  <si>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</si>
  <si>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</si>
  <si>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</si>
  <si>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</si>
  <si>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</si>
  <si>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</si>
  <si>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</si>
  <si>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</si>
  <si>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</si>
  <si>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</si>
  <si>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</si>
  <si>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</si>
  <si>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</si>
  <si>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</si>
  <si>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</si>
  <si>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</si>
  <si>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</si>
  <si>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</si>
  <si>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>1.1.1.11.</t>
  </si>
  <si>
    <t>1.1.1.12.</t>
  </si>
  <si>
    <t>(–) Instrumenti redovnog osnovnog kapitala subjekata finansijskog sektora ako banka ima značajno ulaganje</t>
  </si>
  <si>
    <t>1.1.1.13.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</si>
  <si>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</si>
  <si>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</si>
  <si>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</si>
  <si>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</si>
  <si>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</si>
  <si>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</si>
  <si>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</si>
  <si>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</si>
  <si>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</si>
  <si>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</si>
  <si>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</si>
  <si>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</si>
  <si>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</si>
  <si>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</si>
  <si>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</si>
  <si>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</si>
  <si>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</si>
  <si>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</si>
  <si>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</si>
  <si>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</si>
  <si>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</si>
  <si>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</si>
  <si>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</si>
  <si>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</si>
  <si>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</si>
  <si>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</si>
  <si>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O p i s</t>
  </si>
  <si>
    <t>Kratk. krediti</t>
  </si>
  <si>
    <t>Dug. krediti</t>
  </si>
  <si>
    <t xml:space="preserve">Učešće % </t>
  </si>
  <si>
    <t>Pravna lica</t>
  </si>
  <si>
    <t xml:space="preserve">         Iznos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</si>
  <si>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</si>
  <si>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</si>
  <si>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</si>
  <si>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</si>
  <si>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</si>
  <si>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</si>
  <si>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</si>
  <si>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</si>
  <si>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</si>
  <si>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</si>
  <si>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</si>
  <si>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</si>
  <si>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</si>
  <si>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</si>
  <si>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</si>
  <si>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</si>
  <si>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</si>
  <si>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</si>
  <si>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</si>
  <si>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</si>
  <si>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</si>
  <si>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</si>
  <si>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</si>
  <si>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</si>
  <si>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I 1-30 dana</t>
  </si>
  <si>
    <t>II 1-90 dana</t>
  </si>
  <si>
    <t>III 1-180 dana</t>
  </si>
  <si>
    <t>EUR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</si>
  <si>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</si>
  <si>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</si>
  <si>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</si>
  <si>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</si>
  <si>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</si>
  <si>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</si>
  <si>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</si>
  <si>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</si>
  <si>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</si>
  <si>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</si>
  <si>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PASIVA</t>
  </si>
  <si>
    <t>MKF</t>
  </si>
  <si>
    <t>MKD</t>
  </si>
  <si>
    <t>9=(7+8)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</si>
  <si>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</si>
  <si>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</si>
  <si>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</si>
  <si>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</si>
  <si>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</si>
  <si>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</si>
  <si>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</si>
  <si>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</si>
  <si>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</si>
  <si>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</si>
  <si>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</si>
  <si>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</si>
  <si>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</si>
  <si>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>Uslužne djelatnosti</t>
  </si>
  <si>
    <t>Trgovina</t>
  </si>
  <si>
    <t>Poljoprivreda</t>
  </si>
  <si>
    <t>Proizvodnja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</si>
  <si>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</si>
  <si>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</si>
  <si>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</si>
  <si>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</si>
  <si>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</si>
  <si>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</si>
  <si>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</si>
  <si>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</si>
  <si>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</si>
  <si>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</si>
  <si>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</si>
  <si>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</si>
  <si>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</si>
  <si>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</si>
  <si>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</si>
  <si>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</si>
  <si>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</si>
  <si>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</si>
  <si>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</si>
  <si>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</si>
  <si>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</si>
  <si>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</si>
  <si>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</si>
  <si>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</si>
  <si>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</si>
  <si>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</si>
  <si>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</si>
  <si>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</si>
  <si>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</si>
  <si>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</si>
  <si>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</si>
  <si>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</si>
  <si>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</si>
  <si>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</si>
  <si>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</si>
  <si>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</si>
  <si>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</si>
  <si>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</si>
  <si>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</si>
  <si>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</si>
  <si>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</si>
  <si>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</si>
  <si>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</si>
  <si>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</si>
  <si>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</si>
  <si>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</si>
  <si>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</si>
  <si>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</si>
  <si>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</si>
  <si>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</si>
  <si>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</si>
  <si>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</si>
  <si>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</si>
  <si>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</si>
  <si>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</si>
  <si>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</si>
  <si>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>a)</t>
  </si>
  <si>
    <t>b)</t>
  </si>
  <si>
    <t>c)</t>
  </si>
  <si>
    <t>d)</t>
  </si>
  <si>
    <t>e)</t>
  </si>
  <si>
    <t>f)</t>
  </si>
  <si>
    <t>Prosječna neto aktiva</t>
  </si>
  <si>
    <t>Prosječni ukupni kapital</t>
  </si>
  <si>
    <t xml:space="preserve">Neto kamatni prihod </t>
  </si>
  <si>
    <t>Dobit na prosječnu aktivu (ROAA)</t>
  </si>
  <si>
    <t>Dobit na prosječni ukupni kapital (ROAE)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</si>
  <si>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</si>
  <si>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</si>
  <si>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</si>
  <si>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</si>
  <si>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</si>
  <si>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</si>
  <si>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</si>
  <si>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</si>
  <si>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</si>
  <si>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</si>
  <si>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</si>
  <si>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</si>
  <si>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</si>
  <si>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</si>
  <si>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</si>
  <si>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</si>
  <si>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</si>
  <si>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</si>
  <si>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</si>
  <si>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</si>
  <si>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</si>
  <si>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</si>
  <si>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</si>
  <si>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</si>
  <si>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</si>
  <si>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</si>
  <si>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 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</si>
  <si>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</si>
  <si>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</si>
  <si>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</si>
  <si>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</si>
  <si>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</si>
  <si>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</si>
  <si>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</si>
  <si>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</si>
  <si>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</si>
  <si>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</si>
  <si>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</si>
  <si>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</si>
  <si>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</si>
  <si>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</si>
  <si>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</si>
  <si>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</si>
  <si>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</si>
  <si>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</si>
  <si>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</si>
  <si>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</si>
  <si>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</si>
  <si>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</si>
  <si>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</si>
  <si>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Troškovi rezervi</t>
  </si>
  <si>
    <t>Broj</t>
  </si>
  <si>
    <t>5=3+4</t>
  </si>
  <si>
    <t>9=7+8</t>
  </si>
  <si>
    <t xml:space="preserve">Stanje za MKD    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</si>
  <si>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</si>
  <si>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</si>
  <si>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</si>
  <si>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</si>
  <si>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</si>
  <si>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</si>
  <si>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</si>
  <si>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</si>
  <si>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</si>
  <si>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</si>
  <si>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</si>
  <si>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</si>
  <si>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</si>
  <si>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</si>
  <si>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</si>
  <si>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</si>
  <si>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</si>
  <si>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</si>
  <si>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</si>
  <si>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</si>
  <si>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</si>
  <si>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</si>
  <si>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</si>
  <si>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</si>
  <si>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</si>
  <si>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</si>
  <si>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</si>
  <si>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</si>
  <si>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</si>
  <si>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</si>
  <si>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</si>
  <si>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</si>
  <si>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</si>
  <si>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Vrsta faktoringa/domicilnost</t>
  </si>
  <si>
    <t>(5/3)</t>
  </si>
  <si>
    <t>Poslovna jedinica/viši organizacioni dijelovi</t>
  </si>
  <si>
    <t>(7/4)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</si>
  <si>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</si>
  <si>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</si>
  <si>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</si>
  <si>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</si>
  <si>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</si>
  <si>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</si>
  <si>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</si>
  <si>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</si>
  <si>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Finansijska imovina po fer vrijednosti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</si>
  <si>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</si>
  <si>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</si>
  <si>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</si>
  <si>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</si>
  <si>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</si>
  <si>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</si>
  <si>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</si>
  <si>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</si>
  <si>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</si>
  <si>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</si>
  <si>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</si>
  <si>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</si>
  <si>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</si>
  <si>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</si>
  <si>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</si>
  <si>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</si>
  <si>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</si>
  <si>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</si>
  <si>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Naknade za izvršene usluge</t>
  </si>
  <si>
    <t>I Rashodi od kamata i slični rashodi</t>
  </si>
  <si>
    <t>Ostali rashodi od kamata</t>
  </si>
  <si>
    <t>Iznos finansijskih obaveza</t>
  </si>
  <si>
    <t>Razlika (+ ili -) = 1-2</t>
  </si>
  <si>
    <t>Uzeti krediti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</si>
  <si>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</si>
  <si>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</si>
  <si>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</si>
  <si>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</si>
  <si>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</si>
  <si>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</si>
  <si>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</si>
  <si>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 xml:space="preserve"> VP svih nivoa vlasti u BiH</t>
  </si>
  <si>
    <t xml:space="preserve"> Državni VP (druge zemlje)</t>
  </si>
  <si>
    <t>Nebankarske finans. instit.</t>
  </si>
  <si>
    <t>Učešće u ukup. kapit.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</si>
  <si>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</si>
  <si>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</si>
  <si>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</si>
  <si>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</si>
  <si>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</si>
  <si>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Finansijska imovina po amortizovanom trošku</t>
  </si>
  <si>
    <t>Porez na dobit</t>
  </si>
  <si>
    <t>Ukupni rashodi (1+2+3+4)</t>
  </si>
  <si>
    <t>Tabele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</si>
  <si>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</si>
  <si>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</si>
  <si>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</si>
  <si>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</si>
  <si>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</si>
  <si>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</si>
  <si>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</si>
  <si>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</si>
  <si>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</si>
  <si>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</si>
  <si>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</si>
  <si>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</si>
  <si>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</si>
  <si>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</si>
  <si>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</si>
  <si>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</si>
  <si>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</si>
  <si>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</si>
  <si>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</si>
  <si>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</si>
  <si>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</si>
  <si>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</si>
  <si>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</si>
  <si>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</si>
  <si>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</si>
  <si>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</si>
  <si>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</si>
  <si>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</si>
  <si>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</si>
  <si>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</si>
  <si>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</si>
  <si>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</si>
  <si>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</si>
  <si>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</si>
  <si>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>Banke sa sjedištem u FBiH (na području BiH)</t>
  </si>
  <si>
    <t>Organizacioni dijelovi banaka iz RS u FBiH</t>
  </si>
  <si>
    <t>Stopa NPL</t>
  </si>
  <si>
    <t>Stopa pokrivenosti ukupnih kredita sa ECL</t>
  </si>
  <si>
    <t>Novi NPL*/Ukupni prihodujući krediti</t>
  </si>
  <si>
    <t>Dospjeli krediti/Ukupni krediti</t>
  </si>
  <si>
    <t>* Iznos rasta/pada NPL na izvještajni datum u odnosu na uporedni period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</si>
  <si>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</si>
  <si>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</si>
  <si>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</si>
  <si>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</si>
  <si>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</si>
  <si>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Likvidna imovina nivoa 2</t>
  </si>
  <si>
    <t>Likvidna imovina nivoa 2a</t>
  </si>
  <si>
    <t>Likvidna imovina nivoa 2b</t>
  </si>
  <si>
    <t>Ukupno (1+2)</t>
  </si>
  <si>
    <t>Ukupni odlivi</t>
  </si>
  <si>
    <t>Ukupni prilivi</t>
  </si>
  <si>
    <t xml:space="preserve">Prilivi na koje se primjenjuje gornja granica od 75% odliva </t>
  </si>
  <si>
    <t xml:space="preserve"> - % -</t>
  </si>
  <si>
    <t xml:space="preserve">2. </t>
  </si>
  <si>
    <t>Stopa pokrivenosti ukupne izloženosti sa ECL</t>
  </si>
  <si>
    <t>Stopa nekvalitetnih izloženosti</t>
  </si>
  <si>
    <t>Stopa pokrivenosti nekvalitetnih izloženosti sa ECL</t>
  </si>
  <si>
    <t>Stopa pokrivenosti NPL sa ECL</t>
  </si>
  <si>
    <t>II  Obaveze u bilansu stanja</t>
  </si>
  <si>
    <t>III Vanbilansna pozicija neto (+) ili (-)</t>
  </si>
  <si>
    <t>R.br.</t>
  </si>
  <si>
    <t>Broj MKO</t>
  </si>
  <si>
    <t>Višak prihoda nad rashodima/Dobit</t>
  </si>
  <si>
    <t>Manjak prihoda nad rashodima/Gubitak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</si>
  <si>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</si>
  <si>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</si>
  <si>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</si>
  <si>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</si>
  <si>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</si>
  <si>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>Faktoring sa pravom regresa</t>
  </si>
  <si>
    <t xml:space="preserve">Izloženosti stope finansijske poluge </t>
  </si>
  <si>
    <t xml:space="preserve">Stopa finansijske poluge </t>
  </si>
  <si>
    <t>Pokazatelj</t>
  </si>
  <si>
    <t xml:space="preserve"> (–) Stvarne ili potencijalne obaveze kupovine vlastitih instrumenata redovnog osnovnog kapitala</t>
  </si>
  <si>
    <t>Imovina multilateralne razvojne banke i međunarodnih organizacija</t>
  </si>
  <si>
    <t>Korporativne obveznice*</t>
  </si>
  <si>
    <t>Učešće       %</t>
  </si>
  <si>
    <t>Učešće        %</t>
  </si>
  <si>
    <t>Indeks   (5/3)</t>
  </si>
  <si>
    <t>Novac i novčani ekvivalenti</t>
  </si>
  <si>
    <t>3a)</t>
  </si>
  <si>
    <t>3b)</t>
  </si>
  <si>
    <t>Rezerve za gubitke</t>
  </si>
  <si>
    <t>3c)</t>
  </si>
  <si>
    <t>3d)</t>
  </si>
  <si>
    <t>Odgođeni prihod po osnovu naknada</t>
  </si>
  <si>
    <t>5a)</t>
  </si>
  <si>
    <t>5b)</t>
  </si>
  <si>
    <t>Raspoloživo stabilno finansiranje (ASF)</t>
  </si>
  <si>
    <t>Potrebno stabilno finansiranje (RSF)</t>
  </si>
  <si>
    <t>NSFR</t>
  </si>
  <si>
    <t>Iznos imovine</t>
  </si>
  <si>
    <t>RSF</t>
  </si>
  <si>
    <t>(6/4)</t>
  </si>
  <si>
    <t>RSF od:</t>
  </si>
  <si>
    <t>Imovine centralne banke</t>
  </si>
  <si>
    <t>Likvidne imovine</t>
  </si>
  <si>
    <t>Vrijednosnih papira koji nisu likvidna imovina</t>
  </si>
  <si>
    <t>Kredita</t>
  </si>
  <si>
    <t>Ostale imovine</t>
  </si>
  <si>
    <t>Vanbilansnih stavki</t>
  </si>
  <si>
    <t>Ukupno RSF</t>
  </si>
  <si>
    <t>Iznos obaveza i kapitala</t>
  </si>
  <si>
    <t>ASF</t>
  </si>
  <si>
    <t>ASF od:</t>
  </si>
  <si>
    <t>Stavki i instrumenata kapitala</t>
  </si>
  <si>
    <t>Depozita stanovništva</t>
  </si>
  <si>
    <t>Ostalih nefinansijskih klijenata (osim centralnih banaka)</t>
  </si>
  <si>
    <t>Finansijskih klijenata i centralnih banaka</t>
  </si>
  <si>
    <t>Ostalih obaveza</t>
  </si>
  <si>
    <t>Ukupno ASF</t>
  </si>
  <si>
    <t>(–) Odgođena porezna imovina koja se može odbiti i koja zavisi o budućoj profitabilnosti i proizlazi iz privremenih razlika</t>
  </si>
  <si>
    <t>I Ukupno kratkoročni</t>
  </si>
  <si>
    <t>II Ukupno dugoročni</t>
  </si>
  <si>
    <t xml:space="preserve">    Ukupno (I + II)</t>
  </si>
  <si>
    <t xml:space="preserve"> - 000 KM ili % -</t>
  </si>
  <si>
    <t xml:space="preserve"> I (preko 4 milijarde KM)</t>
  </si>
  <si>
    <t xml:space="preserve"> II (2-4 milijarde KM)</t>
  </si>
  <si>
    <t xml:space="preserve"> III (1-2 milijarde KM)</t>
  </si>
  <si>
    <t xml:space="preserve"> IV (ispod 1 milijarde KM)</t>
  </si>
  <si>
    <t>Operativnih depozita</t>
  </si>
  <si>
    <t xml:space="preserve"> I  Imovina u bilansu stanja</t>
  </si>
  <si>
    <t>Gotovina i gotovinski ekvivalenti</t>
  </si>
  <si>
    <t>Ostala finansijska imovina</t>
  </si>
  <si>
    <t>Iznos finansijske imovine</t>
  </si>
  <si>
    <t>Imovina</t>
  </si>
  <si>
    <t>Gotovina i got. ekvival.</t>
  </si>
  <si>
    <t>Finansijskih derivata</t>
  </si>
  <si>
    <t>Tabela 1: Org. dijelovi, mreža bankomata i POS uređaja banaka koje posluju u FBiH</t>
  </si>
  <si>
    <t>Tabela 1: Org. dijelovi,  mreža bankomata i POS uređaja banaka koje posluju u FBiH</t>
  </si>
  <si>
    <t>Učešće u ukup. imovini</t>
  </si>
  <si>
    <t>Ukupna imovina</t>
  </si>
  <si>
    <t>Račun rezervi kod CBBiH (uključujući iznos obavezne rezerve kod CBBiH)</t>
  </si>
  <si>
    <t>Novčana sredstva na računima depozita kod depozitnih institucija u BiH</t>
  </si>
  <si>
    <t>Novčana sredstva na računima depozita kod depozitnih institucija u inostranstvu</t>
  </si>
  <si>
    <t>Novčana sredstva u procesu naplate</t>
  </si>
  <si>
    <t>Ostala gotovina i gotovinski ekvivalenti</t>
  </si>
  <si>
    <t>Gotov novac</t>
  </si>
  <si>
    <t>Neprofitne organizacije</t>
  </si>
  <si>
    <t xml:space="preserve">Tekući računi </t>
  </si>
  <si>
    <t>Štedni depoziti po viđenju</t>
  </si>
  <si>
    <t>Oročeni do jedne godine</t>
  </si>
  <si>
    <t>Oročeni preko jedne godine</t>
  </si>
  <si>
    <t>Obrtnici</t>
  </si>
  <si>
    <t>Računi depozita kod drugih banaka</t>
  </si>
  <si>
    <t>Krediti i finansijski najmovi</t>
  </si>
  <si>
    <t>Ostali prihodi od kamata po imovini po amortiziranom trošku</t>
  </si>
  <si>
    <t>Prihodi po imovini po fer vrijednosti kroz bilans uspjeha</t>
  </si>
  <si>
    <t>II Nekamatni prihodi</t>
  </si>
  <si>
    <t>Naknade i provizije</t>
  </si>
  <si>
    <t>II Nekamatni rashodi</t>
  </si>
  <si>
    <t xml:space="preserve">Umanjenja vrijednosti i rezervisanja </t>
  </si>
  <si>
    <t>Troškovi zaposlenih</t>
  </si>
  <si>
    <t>Ostali troškovi i rashodi</t>
  </si>
  <si>
    <t>Ostvareno % = red. br. 1 / red. br. 2</t>
  </si>
  <si>
    <t xml:space="preserve">Namjenski depoziti </t>
  </si>
  <si>
    <t>Struktura</t>
  </si>
  <si>
    <t>Prihodi po imovini po fer vrijednosti kroz ostali ukupan rezultat</t>
  </si>
  <si>
    <t>Ostali dobici i (gubici) od finansijske imovine</t>
  </si>
  <si>
    <t xml:space="preserve">Ostali prihodi </t>
  </si>
  <si>
    <t>Dobici i (gubici) od dugoročne nefinansijske imovine</t>
  </si>
  <si>
    <t>Neto dobici/(gubici) od derivatnih fin. instrumenata</t>
  </si>
  <si>
    <t>Neto prihod od naknada i provizija</t>
  </si>
  <si>
    <t>Nekamatni prihod</t>
  </si>
  <si>
    <t>Neto operativni prihod</t>
  </si>
  <si>
    <t>Neto kamatni prihod nakon troškova ECL-a</t>
  </si>
  <si>
    <t>Omjer troškova i prihoda (CIR)*</t>
  </si>
  <si>
    <t>* CIR eng. Cost-income Ratio</t>
  </si>
  <si>
    <t xml:space="preserve">9. </t>
  </si>
  <si>
    <t>NPL/Ukupni kapital i ECL za NPL (Teksaški koeficijent)</t>
  </si>
  <si>
    <t>Ukupni stabilni izvori finansiranja/Ukupne obaveze i kapital</t>
  </si>
  <si>
    <t>Neto NPL/Računovodstveni kapital</t>
  </si>
  <si>
    <t>Hipotekarni krediti</t>
  </si>
  <si>
    <t>Lombardni krediti</t>
  </si>
  <si>
    <t>Krediti za kupovinu motornih vozila</t>
  </si>
  <si>
    <t>Potrošački nenamjenski krediti</t>
  </si>
  <si>
    <t>Potrošački namjenski krediti</t>
  </si>
  <si>
    <t>Prekoračenja po tekućem računu</t>
  </si>
  <si>
    <t>Kartični proizvodi koji imaju karakteristike odgođenog plaćanja</t>
  </si>
  <si>
    <t>Ostali krediti</t>
  </si>
  <si>
    <t>Vrsta proizvoda</t>
  </si>
  <si>
    <t>Neto pozitivne/(negativne) kursne razlike</t>
  </si>
  <si>
    <t xml:space="preserve">Obaveze po uzetim kreditima </t>
  </si>
  <si>
    <t>Subordinisani dugovi</t>
  </si>
  <si>
    <t>Krediti/Depoziti</t>
  </si>
  <si>
    <t>Likvidna imovina/Neto imovina</t>
  </si>
  <si>
    <t>Likvidna imovina/Kratkoročne finans. obaveze</t>
  </si>
  <si>
    <t>Krediti/Depoziti i uzeti krediti</t>
  </si>
  <si>
    <t>Neto kamatni prihod nakon troškova ECL/Prosječna aktiva (NIA)</t>
  </si>
  <si>
    <t>Neto kamatni prihod/Neto operativni prihod</t>
  </si>
  <si>
    <t xml:space="preserve"> Prihodi od prodaje lizing objekta, neto</t>
  </si>
  <si>
    <t>Fizička lica</t>
  </si>
  <si>
    <t>Imovina po zaposlenom</t>
  </si>
  <si>
    <t xml:space="preserve"> Broj zaposlenih</t>
  </si>
  <si>
    <t>Iznos ukupne imovine</t>
  </si>
  <si>
    <t>Indeks (4/3)</t>
  </si>
  <si>
    <t>% i iznos viška ili manjka od propisanog minimuma</t>
  </si>
  <si>
    <t>Privatna preduzeća i društva</t>
  </si>
  <si>
    <t>Nebankarske finansijske institucije</t>
  </si>
  <si>
    <t>Ostala fin. imov. sa val. kl.</t>
  </si>
  <si>
    <t>Dep. i kred. sa val. klauz.</t>
  </si>
  <si>
    <t xml:space="preserve">    Ukupno I </t>
  </si>
  <si>
    <t xml:space="preserve">   Ukupno II </t>
  </si>
  <si>
    <t xml:space="preserve">Promjena ekonomske vrijednosti/Regulatorni kapital </t>
  </si>
  <si>
    <t xml:space="preserve">                 Ukupno 1</t>
  </si>
  <si>
    <t xml:space="preserve">                Ukupno 2</t>
  </si>
  <si>
    <t xml:space="preserve">                Ukupni prihodi (1+2+3)</t>
  </si>
  <si>
    <t xml:space="preserve">               Ukupno 1</t>
  </si>
  <si>
    <t xml:space="preserve">               Ukupno 2</t>
  </si>
  <si>
    <t>(–) Kvalificirani udjeli izvan finansijskog sektora na koje se kao alternativa može primjenjivati ponder rizika od 1250%</t>
  </si>
  <si>
    <r>
      <t>Rashod od kamata i slični rashodi</t>
    </r>
    <r>
      <rPr>
        <sz val="12"/>
        <color rgb="FF2E74B5"/>
        <rFont val="Calibri"/>
        <family val="2"/>
        <scheme val="minor"/>
      </rPr>
      <t> </t>
    </r>
  </si>
  <si>
    <t>31.12.2024.</t>
  </si>
  <si>
    <t>31.03.2025.</t>
  </si>
  <si>
    <t xml:space="preserve">       31.12.2024.</t>
  </si>
  <si>
    <t xml:space="preserve">       31.03.2025.</t>
  </si>
  <si>
    <t>31.03.2024.</t>
  </si>
  <si>
    <t xml:space="preserve">    31.12.2024.</t>
  </si>
  <si>
    <t xml:space="preserve">    31.03.2025.</t>
  </si>
  <si>
    <t>01.01. - 31.03.2024.</t>
  </si>
  <si>
    <t>01.01. - 31.03.2025.</t>
  </si>
  <si>
    <t>Neto likvidnosni odlivi [1-min(2;3)]</t>
  </si>
  <si>
    <t>Depoziti*</t>
  </si>
  <si>
    <t xml:space="preserve">* U skladu sa izmjenama izvještajnog okvira iz novembra 2024. godine, u iznos depozita uključene i obračunate kamate </t>
  </si>
  <si>
    <t xml:space="preserve">31.12.2024. </t>
  </si>
  <si>
    <t xml:space="preserve">31.03.2025. </t>
  </si>
  <si>
    <t>01.01. - 31.03.2025. 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</si>
  <si>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</si>
  <si>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</si>
  <si>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</si>
  <si>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</si>
  <si>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</si>
  <si>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</si>
  <si>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</si>
  <si>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</si>
  <si>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</si>
  <si>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</si>
  <si>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</si>
  <si>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Italija</t>
  </si>
  <si>
    <t>Internet adresa</t>
  </si>
  <si>
    <t>Direktor</t>
  </si>
  <si>
    <t xml:space="preserve">13. </t>
  </si>
  <si>
    <t>Addiko Bank d.d. Sarajevo</t>
  </si>
  <si>
    <t>ASA BANKA DIONIČKO DRUŠTVO SARAJEVO</t>
  </si>
  <si>
    <t>"BOSNA BANK INTERNATIONAL" - d.d. Sarajevo</t>
  </si>
  <si>
    <t>INTESA SANPAOLO BANKA d.d. BOSNA I HERCEGOVINA</t>
  </si>
  <si>
    <t>KOMERCIJALNO-INVESTICIONA BANKA D.D. VELIKA KLADUŠA</t>
  </si>
  <si>
    <t>NLB Banka d.d., Sarajevo</t>
  </si>
  <si>
    <t>PRIVREDNA BANKA SARAJEVO d.d. SARAJEVO</t>
  </si>
  <si>
    <t>ProCredit Bank d.d. Sarajevo</t>
  </si>
  <si>
    <t>RAIFFEISEN BANK DIONIČARSKO DRUŠTVO BOSNA I HERCEGOVINA</t>
  </si>
  <si>
    <t>Sparkasse Bank dd Bosna i Hercegovina</t>
  </si>
  <si>
    <t>UniCredit Bank d.d.</t>
  </si>
  <si>
    <t>UNION BANKA DD SARAJEVO</t>
  </si>
  <si>
    <t>ZiraatBank BH d.d.</t>
  </si>
  <si>
    <t>UKUPNO:</t>
  </si>
  <si>
    <t>www.addiko.ba</t>
  </si>
  <si>
    <t>www.asabanka.ba</t>
  </si>
  <si>
    <t>www.bbi.ba</t>
  </si>
  <si>
    <t>www.intesasanpaolobanka.ba</t>
  </si>
  <si>
    <t>www.kib-banka.com.ba</t>
  </si>
  <si>
    <t>www.nlb.ba</t>
  </si>
  <si>
    <t>www.pbs.ba</t>
  </si>
  <si>
    <t>www.procreditbank.ba</t>
  </si>
  <si>
    <t>www.raiffeisenbank.ba</t>
  </si>
  <si>
    <t>www.sparkasse.ba</t>
  </si>
  <si>
    <t>www.unicreditbank.ba</t>
  </si>
  <si>
    <t>www.unionbank.ba</t>
  </si>
  <si>
    <t>www.ziraatbank.ba</t>
  </si>
  <si>
    <t>Jasmin Spahić</t>
  </si>
  <si>
    <t>Samir Mustafić</t>
  </si>
  <si>
    <t>Alek Bakalović</t>
  </si>
  <si>
    <t>Refik Rošić</t>
  </si>
  <si>
    <t>Lidija Žigić</t>
  </si>
  <si>
    <t>Hamid Pršeš</t>
  </si>
  <si>
    <t>Amir Salkanović</t>
  </si>
  <si>
    <t>Rainer Schnabl</t>
  </si>
  <si>
    <t>Amir Softić</t>
  </si>
  <si>
    <t>Amina Mahmutović</t>
  </si>
  <si>
    <t>Vedran Hadžiahmetović</t>
  </si>
  <si>
    <t>Bülent Suer</t>
  </si>
  <si>
    <t>Ukupna imovina                        (u 000 KM)</t>
  </si>
  <si>
    <t>Dobit/Gubitak                                        (u 000 KM)</t>
  </si>
  <si>
    <t>Krediti                                                    (u 000 KM)</t>
  </si>
  <si>
    <t>Depoziti                                      (u 000 KM)</t>
  </si>
  <si>
    <t>Banka</t>
  </si>
  <si>
    <t>Tabela 2: Pregled osnovnih podataka o bankama u FBiH</t>
  </si>
  <si>
    <t>Tabela 3. Struktura vlasništva prema ukupnom kapitalu</t>
  </si>
  <si>
    <t>Tabela 4: Struktura vlasništva prema učešću državnog, privatnog i stranog kapitala</t>
  </si>
  <si>
    <t>Tabela 5: Struktura stranog kapitala po zemljama, učešće u %</t>
  </si>
  <si>
    <t xml:space="preserve"> Tabela 6: Struktura stranog kapitala po zemljama - sjedištu grupe, učešće u %</t>
  </si>
  <si>
    <t>Tabela 7: Tržišni udjeli banaka prema vrsti vlasništva (većinskom kapitalu)</t>
  </si>
  <si>
    <t>Tabela 8: Kvalifikaciona struktura zaposlenih u bankama FBiH</t>
  </si>
  <si>
    <t>Tabela 9: Ukupna imovina po zaposlenom</t>
  </si>
  <si>
    <t>IMOVINA</t>
  </si>
  <si>
    <t>Finansijska imovina po fer vrijednosti kroz bilans uspjeha</t>
  </si>
  <si>
    <t>Finansijska imovina po fer vrijednosti kroz ostali ukupni rezultat</t>
  </si>
  <si>
    <t>Potraživanja po finansijskim najmovima</t>
  </si>
  <si>
    <t>Derivatni finansijski instrumenti</t>
  </si>
  <si>
    <t>Unaprijed plaćeni porez na dobit</t>
  </si>
  <si>
    <t xml:space="preserve">Odgođena porezna imovina  </t>
  </si>
  <si>
    <t>Materijalna imovina</t>
  </si>
  <si>
    <t>Nematerijalna imovina</t>
  </si>
  <si>
    <t>Ulaganja u zavisna društva, zajedničke poduhvate i pridružena društva</t>
  </si>
  <si>
    <t>Dugoročna imovina namijenjena prodaji i imovina poslovanja koje se obustavlja</t>
  </si>
  <si>
    <t xml:space="preserve"> Ostala imovina i potraživanja</t>
  </si>
  <si>
    <t xml:space="preserve"> UKUPNO IMOVINA</t>
  </si>
  <si>
    <t>15.</t>
  </si>
  <si>
    <t xml:space="preserve"> VANBILANSNA EVIDENCIJA</t>
  </si>
  <si>
    <t>16.</t>
  </si>
  <si>
    <t xml:space="preserve"> UKUPNO IMOVINA I VANBILANSNA EVIDENCIJA</t>
  </si>
  <si>
    <t>OBAVEZE</t>
  </si>
  <si>
    <t>17.</t>
  </si>
  <si>
    <t xml:space="preserve"> Finansijske obaveze po fer vrijednosti kroz bilans uspjeha</t>
  </si>
  <si>
    <t>18.</t>
  </si>
  <si>
    <t xml:space="preserve"> Finansijske obaveze po amortizovanom trošku </t>
  </si>
  <si>
    <t>19.</t>
  </si>
  <si>
    <t xml:space="preserve"> Derivatni finansijski instrumenti</t>
  </si>
  <si>
    <t>20.</t>
  </si>
  <si>
    <t xml:space="preserve"> Obaveze za porez za dobit</t>
  </si>
  <si>
    <t>21.</t>
  </si>
  <si>
    <t xml:space="preserve"> Odgođene porezne obaveze</t>
  </si>
  <si>
    <t>22.</t>
  </si>
  <si>
    <t xml:space="preserve"> Rezervisanja</t>
  </si>
  <si>
    <t>23.</t>
  </si>
  <si>
    <t xml:space="preserve"> Ostale obaveze</t>
  </si>
  <si>
    <t>24.</t>
  </si>
  <si>
    <t xml:space="preserve"> UKUPNO OBAVEZE</t>
  </si>
  <si>
    <t>KAPITAL</t>
  </si>
  <si>
    <t>25.</t>
  </si>
  <si>
    <t xml:space="preserve"> Dionički kapital</t>
  </si>
  <si>
    <t>26.</t>
  </si>
  <si>
    <t xml:space="preserve"> Dionička premija</t>
  </si>
  <si>
    <t>27.</t>
  </si>
  <si>
    <t xml:space="preserve"> Rezerve </t>
  </si>
  <si>
    <t>28.</t>
  </si>
  <si>
    <t xml:space="preserve"> Revalorizacione rezerve</t>
  </si>
  <si>
    <t>29.</t>
  </si>
  <si>
    <t xml:space="preserve"> Dobit</t>
  </si>
  <si>
    <t>30.</t>
  </si>
  <si>
    <t xml:space="preserve"> Gubitak</t>
  </si>
  <si>
    <t>31.</t>
  </si>
  <si>
    <t xml:space="preserve"> UKUPNO KAPITAL</t>
  </si>
  <si>
    <t>32.</t>
  </si>
  <si>
    <t xml:space="preserve"> UKUPNO OBAVEZE I KAPITAL</t>
  </si>
  <si>
    <t>33.</t>
  </si>
  <si>
    <t>34.</t>
  </si>
  <si>
    <t xml:space="preserve"> UKUPNO OBAVEZE, KAPITAL I VANBILANSNA EVIDENCIJA</t>
  </si>
  <si>
    <t xml:space="preserve">     - 000 KM -</t>
  </si>
  <si>
    <t>12/2023</t>
  </si>
  <si>
    <t>12/2024</t>
  </si>
  <si>
    <t>3/2025</t>
  </si>
  <si>
    <t>Kategorije</t>
  </si>
  <si>
    <t>3</t>
  </si>
  <si>
    <t>4</t>
  </si>
  <si>
    <t>5</t>
  </si>
  <si>
    <t>Zemlja</t>
  </si>
  <si>
    <t>BiH</t>
  </si>
  <si>
    <t>Belgija</t>
  </si>
  <si>
    <t>Ostale države</t>
  </si>
  <si>
    <t>NPL/Ukupni krediti</t>
  </si>
  <si>
    <t>2</t>
  </si>
  <si>
    <t>Indeks (5/3)</t>
  </si>
  <si>
    <t>Prihodi od kamata i slični prihodi po efektivnoj kamatnoj stopi</t>
  </si>
  <si>
    <t>Rashodi od kamata i slični rashodi po efektivnoj kamatnoj stopi</t>
  </si>
  <si>
    <t>Neto prihodi/(rashodi) od kamata i slični prihodi po efektivnoj kamatnoj stopi</t>
  </si>
  <si>
    <t>Prihodi od naknada i provizija</t>
  </si>
  <si>
    <t>Neto prihodi/(rashodi) od naknada i provizija</t>
  </si>
  <si>
    <t>Neto dobici/(gubici) od derivatnih finansijskih instrumenata</t>
  </si>
  <si>
    <t>Prihodi od dividendi</t>
  </si>
  <si>
    <t>Ostali prihodi</t>
  </si>
  <si>
    <t>Prihodi iz poslovanja - neto</t>
  </si>
  <si>
    <t>Udio u rezultatu pridruženog društva i zajedničkog poduhvata primjenom metode udjela</t>
  </si>
  <si>
    <t>Umanjenje vrijednosti goodwill-a</t>
  </si>
  <si>
    <t>DOBIT/(GUBITAK) IZ REDOVNOG POSLOVANJA PRIJE OPOREZIVANJA</t>
  </si>
  <si>
    <t>Tekući porez na dobit</t>
  </si>
  <si>
    <t>Odgođeni porez na dobit</t>
  </si>
  <si>
    <t>POREZ NA DOBIT</t>
  </si>
  <si>
    <t xml:space="preserve">DOBIT/(GUBITAK) IZ REDOVNOG POSLOVANJA </t>
  </si>
  <si>
    <t>DOBIT/(GUBITAK)</t>
  </si>
  <si>
    <t xml:space="preserve"> Stavke koje mogu biti reklasifikovane u bilans uspjeha</t>
  </si>
  <si>
    <t>Stavke koje neće biti reklasifikovane u bilans uspjeha</t>
  </si>
  <si>
    <t>OSTALI UKUPNI REZULTAT</t>
  </si>
  <si>
    <t>UKUPNI REZULTAT</t>
  </si>
  <si>
    <t> IZVJEŠTAJ O OSTALOM UKUPNOM REZULTATU</t>
  </si>
  <si>
    <t xml:space="preserve">01.01. - 31.03.2024. </t>
  </si>
  <si>
    <t xml:space="preserve">Prihodi od kamata i slični prihodi po efektivnoj kamatnoj stopi od finansijske imovine po fer vrijednosti kroz ostali ukupni rezultat  </t>
  </si>
  <si>
    <t xml:space="preserve">Prihodi od kamata i slični prihodi po efektivnoj kamatnoj stopi od finansijske imovine po amortizovanom trošku </t>
  </si>
  <si>
    <t xml:space="preserve">Prihodi od kamata i slični prihodi po efektivnoj kamatnoj stopi od finansijske imovine po fer vrijednosti kroz bilans uspjeha </t>
  </si>
  <si>
    <t>Rashodi od kamata i slični rashodi po efektivnoj kamatnoj stopi po finansijskim obavezama po amortizovanom trošku</t>
  </si>
  <si>
    <t>Rashodi od kamata i slični rashodi po efektivnoj kamatnoj stopi po finansijskim obavezama po fer vrijednosti kroz bilans uspjeha</t>
  </si>
  <si>
    <t xml:space="preserve">Rashodi od naknada i provizija </t>
  </si>
  <si>
    <t xml:space="preserve"> Umanjenja vrijednosti i rezervisanja</t>
  </si>
  <si>
    <t>7.1.</t>
  </si>
  <si>
    <t>7.2.</t>
  </si>
  <si>
    <t>7.3.</t>
  </si>
  <si>
    <t>7.4.</t>
  </si>
  <si>
    <t>8.1.</t>
  </si>
  <si>
    <t>8.2.</t>
  </si>
  <si>
    <t>8.3.</t>
  </si>
  <si>
    <t>8.4.</t>
  </si>
  <si>
    <t>8.5.</t>
  </si>
  <si>
    <t>8.6.</t>
  </si>
  <si>
    <t>8.7.</t>
  </si>
  <si>
    <t>8.8.</t>
  </si>
  <si>
    <t>11.1.</t>
  </si>
  <si>
    <t>7.5.</t>
  </si>
  <si>
    <t xml:space="preserve">(Neto kreditni gubici)/neto otpuštanja ranije priznatih kreditnih gubitaka od finansijske imovine po amortizovanom trošku  </t>
  </si>
  <si>
    <t xml:space="preserve">(Neto kreditni gubici)/neto otpuštanja ranije priznatih kreditnih gubitaka od finansijske imovine po fer vrijednosti kroz ostali ukupni rezultat   </t>
  </si>
  <si>
    <t xml:space="preserve">(Rezervisanja)/neto otpuštanja ranije priznatih rezervisanja za kreditni rizik preuzetih obaveza i datih garancija  </t>
  </si>
  <si>
    <t xml:space="preserve">(Rezervisanja)/neto otpuštanja ranije priznatih rezervisanja za sudske sporove   </t>
  </si>
  <si>
    <t xml:space="preserve">(Ostala rezervisanja)/neto otpuštanja ranije priznatih rezervisanja </t>
  </si>
  <si>
    <t>11.2.</t>
  </si>
  <si>
    <t>Neto dobici/(gubici) od prestanka priznavanja finansijske imovine po amortizovanom trošku</t>
  </si>
  <si>
    <t>Neto efekti promjene vrijednosti finansijske imovine po fer vrijednosti kroz bilans uspjeha</t>
  </si>
  <si>
    <t>Neto dobici/(gubici) od modifikacija finansijske imovine po amortizovanom trošku koje nisu rezultirale prestankom priznavanja</t>
  </si>
  <si>
    <t>Neto dobici/(gubici) od otuđenja finansijske imovine po amortizovanom trošku</t>
  </si>
  <si>
    <t>Neto dobici/(gubici) od otuđenja finansijske imovine po fer vrijednosti kroz bilans uspjeha</t>
  </si>
  <si>
    <t>Neto dobici/(gubici) od otuđenja finansijske imovine po fer vrijednosti kroz ostali ukupni rezultat</t>
  </si>
  <si>
    <t>Neto dobici/(gubici) od reklasifikacija finansijske imovine između poslovnih modela</t>
  </si>
  <si>
    <t>Ostali dobici/(gubici) od finansijske imovine</t>
  </si>
  <si>
    <t>(Neto gubici od umanjenja vrijednosti)/neto dobici od otpuštanja ranije priznatih gubitaka od umanjenja vrijednosti nekretnina, postrojenja i opreme</t>
  </si>
  <si>
    <t>Neto dobici/(gubici) od otuđenja nekretnina, postrojenja i opreme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</si>
  <si>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</si>
  <si>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</si>
  <si>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</si>
  <si>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</si>
  <si>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</si>
  <si>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</si>
  <si>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</si>
  <si>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</si>
  <si>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</si>
  <si>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(Neto gubici)/neto dobici od otpuštanja ranije priznatih gubitaka od promjene revalorizovane vrijednosti nekretnina, postrojenja i opreme za koje nema postojećih revalorizacionih rezervi</t>
  </si>
  <si>
    <t>Neto dobici/(gubici) od otuđenja ulaganja u investicijske nekretnine</t>
  </si>
  <si>
    <t xml:space="preserve">Neto efekti promjene vrijednosti ulaganja u investicijske nekretnine koje se vode po fer vrijednosti </t>
  </si>
  <si>
    <t>(Neto gubici od umanjenja vrijednosti)/neto dobici od otpuštanja ranije priznatih gubitaka od umanjenja vrijednosti investicijskih nekretnina</t>
  </si>
  <si>
    <t>Neto dobici/(gubici) od otuđenja nematerijalne imovine</t>
  </si>
  <si>
    <t>(Neto gubici od umanjenja vrijednosti)/neto dobici od otpuštanja ranije priznatih gubitaka od umanjenja vrijednosti nematerijalne imovine</t>
  </si>
  <si>
    <t>Neto dobici/(gubici) od prestanka priznavanja imovine s pravom korištenja</t>
  </si>
  <si>
    <t>Neto dobici/(gubici) od dugoročne imovine namijenjene prodaji</t>
  </si>
  <si>
    <t>Ostali (neto gubici od umanjenja vrijednosti)/neto dobici od otpuštanja ranije priznatih gubitaka od umanjenja vrijednosti dugoročne nefinansijske imovine</t>
  </si>
  <si>
    <t xml:space="preserve"> Ostali troškovi i rashodi</t>
  </si>
  <si>
    <t>21.1.</t>
  </si>
  <si>
    <t>21.2.</t>
  </si>
  <si>
    <t>21.3.</t>
  </si>
  <si>
    <t>21.4.</t>
  </si>
  <si>
    <t>Efekat smanjenja odgođene porezne imovine</t>
  </si>
  <si>
    <t>Efekat povećanja odgođene porezne imovine</t>
  </si>
  <si>
    <t>Efekat povećanja odgođenih poreznih obaveza</t>
  </si>
  <si>
    <t>Efekat smanjenja odgođenih poreznih obaveza</t>
  </si>
  <si>
    <t xml:space="preserve">Dobit ili (gubitak) od obustavljenog poslovanja  </t>
  </si>
  <si>
    <t>BILANS USPJEHA</t>
  </si>
  <si>
    <t>Tabela 3: Struktura vlasništva prema ukupnom kapitalu</t>
  </si>
  <si>
    <t>Tabela 8: Kvalifikaciona struktura zaposlenih  u bankama FBiH</t>
  </si>
  <si>
    <t xml:space="preserve">Tabela 10: Bilans stanja banaka u FBiH   </t>
  </si>
  <si>
    <t>Tabela 11: Ukupna imovina banaka prema vlasničkoj strukturi</t>
  </si>
  <si>
    <t>Tabela 12: Herfindahlov indeks koncentracije u ukupnoj imovini, kreditima i depozitima</t>
  </si>
  <si>
    <t>Tabela 13: Koncentracijske stope za pet najvećih banaka - CR5: ukupna imovina, krediti i depoziti</t>
  </si>
  <si>
    <t>Tabela 14: Učešće grupa banaka u ukupnoj imovini</t>
  </si>
  <si>
    <t xml:space="preserve">Tabela 14: Učešće grupa banaka u ukupnoj imovini </t>
  </si>
  <si>
    <t>Tabela 15: Novčana sredstva banaka</t>
  </si>
  <si>
    <t>Tabela 16: Vrijednosni papiri prema vrsti instrumenta</t>
  </si>
  <si>
    <t>Tabela 17:  Struktura izloženosti u vidu vrijednosnih papira prema kriteriju države emitenta</t>
  </si>
  <si>
    <t>Tabela 18: Vrijednosni papiri entitetskih vlada BiH</t>
  </si>
  <si>
    <t>Ukupno ECL</t>
  </si>
  <si>
    <t>Ukupni krediti pravna lica (1.1. do 1.21.)</t>
  </si>
  <si>
    <t>A Poljoprivreda, šumarstvo i ribolov</t>
  </si>
  <si>
    <t>B Vađenje ruda i kamena</t>
  </si>
  <si>
    <t>C Prerađivačka industrija</t>
  </si>
  <si>
    <t>D Proizvodnja i opskrba električnom energijom, plinom, parom i klimatizacija</t>
  </si>
  <si>
    <t>E Opskrba vodom, uklanj. otp. voda, gospodar. otpadom, te djelatnosti sanacije okoliša</t>
  </si>
  <si>
    <t>F Građevinarstvo</t>
  </si>
  <si>
    <t>1.7.</t>
  </si>
  <si>
    <t>G Trg. na veliko i malo; popravak motornih vozila i motoc.</t>
  </si>
  <si>
    <t>1.8.</t>
  </si>
  <si>
    <t>H Prijevoz i skladištenje</t>
  </si>
  <si>
    <t>1.9.</t>
  </si>
  <si>
    <t>I Djelatnosti pružanja smještaja te pripreme i usluživanja hrane (hoteljerstvo i ugostiteljstvo)</t>
  </si>
  <si>
    <t>1.10.</t>
  </si>
  <si>
    <t>J Informacije i komunikacije</t>
  </si>
  <si>
    <t>1.11.</t>
  </si>
  <si>
    <t>K Finans. djelatnosti i djelatnosti osiguranja</t>
  </si>
  <si>
    <t>1.12.</t>
  </si>
  <si>
    <t>L Poslovanje nekretninama</t>
  </si>
  <si>
    <t>1.13.</t>
  </si>
  <si>
    <t>M Stručne, znanstvene i tehničke djelatnosti</t>
  </si>
  <si>
    <t>1.14.</t>
  </si>
  <si>
    <t>N Administrat. i pomoćne uslužne djelatnosti</t>
  </si>
  <si>
    <t>1.15.</t>
  </si>
  <si>
    <t>O Javna uprava i odbrana; obav. soc. osiguranje</t>
  </si>
  <si>
    <t>1.16.</t>
  </si>
  <si>
    <t>P Obrazovanje</t>
  </si>
  <si>
    <t>1.17.</t>
  </si>
  <si>
    <t>Q Djelatnosti zdravstvene zaštite i socijalne skrbi</t>
  </si>
  <si>
    <t>1.18.</t>
  </si>
  <si>
    <t>R Umjetnost, zabava i rekreacija</t>
  </si>
  <si>
    <t>1.19.</t>
  </si>
  <si>
    <t>S Ostale uslužne djelatnosti</t>
  </si>
  <si>
    <t>1.20.</t>
  </si>
  <si>
    <t>T Djelatnosti kućanstva kao poslodavca; djelatnosti kućanstva koja proizvode različita dobra i obavljaju različite usluge za vlastite potrebe</t>
  </si>
  <si>
    <t>1.21.</t>
  </si>
  <si>
    <t xml:space="preserve"> U Djelatnosti izvanteritorijal. organizacija i tijela</t>
  </si>
  <si>
    <t>Ukupno stanovništvo (2.1 + 2.2 + 2.3)</t>
  </si>
  <si>
    <t>Opća potrošnja</t>
  </si>
  <si>
    <t>Stambena izgradnja</t>
  </si>
  <si>
    <t>Obavljanje djelatnosti (obrtnici)</t>
  </si>
  <si>
    <t>Ukupni krediti (1. + 2.)</t>
  </si>
  <si>
    <t>Ukupni bruto krediti</t>
  </si>
  <si>
    <t>Stopa NPL-a</t>
  </si>
  <si>
    <t>7=5/6</t>
  </si>
  <si>
    <t>Naziv NFI</t>
  </si>
  <si>
    <t>Indeks       (9/3)</t>
  </si>
  <si>
    <t>Broj NFI</t>
  </si>
  <si>
    <t>Ukupan broj OD  NFI</t>
  </si>
  <si>
    <t>Broj OD NFI iz FBiH u BD</t>
  </si>
  <si>
    <t>Broj NFI sa sjedištem u RS-u koje posluju u FBiH</t>
  </si>
  <si>
    <t>Broj OD NFI iz RS-a u FBiH</t>
  </si>
  <si>
    <t>Ukupan broj OD NFI</t>
  </si>
  <si>
    <t xml:space="preserve">Broj OD NFI iz FBiH u RS-u </t>
  </si>
  <si>
    <t>MKO*</t>
  </si>
  <si>
    <t>Lizing društva</t>
  </si>
  <si>
    <t>Banke koje obavljaju poslove faktoringa</t>
  </si>
  <si>
    <t>N/A</t>
  </si>
  <si>
    <t>UKUPNO</t>
  </si>
  <si>
    <t xml:space="preserve">*   Sa 31.12.2024. ukupno je 13 MKO koje imaju dozvolu za rad, od čega je devet MKF i četiri MKD </t>
  </si>
  <si>
    <t>Vlasnička struktura NFI sa 31.12.2024.</t>
  </si>
  <si>
    <t>Vlasnička struktura NFI sa 31.03.2025.</t>
  </si>
  <si>
    <t>Legenda:</t>
  </si>
  <si>
    <t>BD</t>
  </si>
  <si>
    <t>Brčko Distrikt</t>
  </si>
  <si>
    <t>EU</t>
  </si>
  <si>
    <t>Evropska unija</t>
  </si>
  <si>
    <t>FBiH</t>
  </si>
  <si>
    <t>Federacija Bosne i Hercegovine</t>
  </si>
  <si>
    <t xml:space="preserve">MKD </t>
  </si>
  <si>
    <t>Mikrokreditna društva</t>
  </si>
  <si>
    <t>Mikrokreditne fondacije</t>
  </si>
  <si>
    <t>MKO</t>
  </si>
  <si>
    <t>Mikrokreditne organizacije</t>
  </si>
  <si>
    <t>NFI</t>
  </si>
  <si>
    <t>Nedepozitne finansijske institucije</t>
  </si>
  <si>
    <t>NRPL</t>
  </si>
  <si>
    <t>Nerezidentno pravno lice</t>
  </si>
  <si>
    <t>OD</t>
  </si>
  <si>
    <t>Organizacioni dijelovi</t>
  </si>
  <si>
    <t>RPL</t>
  </si>
  <si>
    <t>Rezidentno pravno lice</t>
  </si>
  <si>
    <t>RS</t>
  </si>
  <si>
    <t>Republika Srpska</t>
  </si>
  <si>
    <t>Naziv MKO</t>
  </si>
  <si>
    <t>Iznos aktive                           (u 000 KM)</t>
  </si>
  <si>
    <t>Iznos bruto portfolija umanjen za odgođeni prihod po naknadama                     (u 000 KM)</t>
  </si>
  <si>
    <t>Finansijski rezultat              (u 000 KM)</t>
  </si>
  <si>
    <t>Plasmani                                         (u 000 KM)</t>
  </si>
  <si>
    <t>Mikrokreditno društvo CREDO CENTAR društvo sa ograničenom odgovornošću Mostar</t>
  </si>
  <si>
    <t>www.credo-centar.ba</t>
  </si>
  <si>
    <t>Hamid Milak</t>
  </si>
  <si>
    <t>Mikrokreditno društvo EKI d.o.o. Sarajevo</t>
  </si>
  <si>
    <t xml:space="preserve">www.eki.ba </t>
  </si>
  <si>
    <t>Mirsad Simičić</t>
  </si>
  <si>
    <t>Mikrokreditna fondacija "EKI"</t>
  </si>
  <si>
    <t>Esad Uzunić</t>
  </si>
  <si>
    <t>Mikrokreditna fondacija "LIDER"</t>
  </si>
  <si>
    <t>www.lider.ba</t>
  </si>
  <si>
    <t xml:space="preserve">Džavid Sejfović </t>
  </si>
  <si>
    <t>Mikrokreditna fondacija "LOK" Sarajevo</t>
  </si>
  <si>
    <t>www.lok.ba</t>
  </si>
  <si>
    <t>Elma Čardaklija - Bašić</t>
  </si>
  <si>
    <t>Mikrokreditno društvo MI-BOSPO d.o.o. Tuzla</t>
  </si>
  <si>
    <t xml:space="preserve">www.mi-bospo.org                                    </t>
  </si>
  <si>
    <t>Sandra Bećirović</t>
  </si>
  <si>
    <t>Mikrokreditna fondacija "MI-BOSPO" Tuzla</t>
  </si>
  <si>
    <t>Safet Husić</t>
  </si>
  <si>
    <t>Mikrokreditna fondacija "MIKRA"</t>
  </si>
  <si>
    <t xml:space="preserve">www.mikra.ba </t>
  </si>
  <si>
    <t>Sanin Čampara</t>
  </si>
  <si>
    <t>Mikrokreditna fondacija "MIKRO ALDI"</t>
  </si>
  <si>
    <t xml:space="preserve">www.mikroaldi.org </t>
  </si>
  <si>
    <t>Omar Softić</t>
  </si>
  <si>
    <t>„PARTNER MIKROKREDITNA FONDACIJA“</t>
  </si>
  <si>
    <t xml:space="preserve">www.partner.ba                                  </t>
  </si>
  <si>
    <t>Senad Sinanović</t>
  </si>
  <si>
    <t>"PRVA ISLAMSKA MIKROKREDITNA FONDACIJA"</t>
  </si>
  <si>
    <t xml:space="preserve">www.mfi.ba </t>
  </si>
  <si>
    <t>Edina Hadžimurtezić</t>
  </si>
  <si>
    <t>Mikrokreditna fondacija "SUNRISE"</t>
  </si>
  <si>
    <t xml:space="preserve">www.microsunrise.ba </t>
  </si>
  <si>
    <t>Samir Bajrović</t>
  </si>
  <si>
    <t>Mikrokreditno društvo „PARTNER“ društvo sa ograničenom odgovornošću Tuzla</t>
  </si>
  <si>
    <t>Edisa Sijerčić</t>
  </si>
  <si>
    <t>Napomena: nazivi MKF preuzeti su iz rješenja o upisu u registar kod Federalnog ministarstva pravde, a nazivi MKD iz rješenja o upisu u sudski registar</t>
  </si>
  <si>
    <t>Broj zaposlenih u MKO</t>
  </si>
  <si>
    <t>Iznos aktive u 000 KM</t>
  </si>
  <si>
    <t>Iznos aktive po zaposlenom         u 000 KM</t>
  </si>
  <si>
    <t>NKS</t>
  </si>
  <si>
    <t>EKS</t>
  </si>
  <si>
    <t>Pon. kamatne stope na kratkoročne kredite</t>
  </si>
  <si>
    <t>Privredi</t>
  </si>
  <si>
    <t>Stanovništvu</t>
  </si>
  <si>
    <t>Pon. kamatne stope na dugoročne kredite</t>
  </si>
  <si>
    <t xml:space="preserve">Ukupno pon. kamatne stope </t>
  </si>
  <si>
    <t>3.1.</t>
  </si>
  <si>
    <t>3.2.</t>
  </si>
  <si>
    <t>3.3.</t>
  </si>
  <si>
    <t>Napomena: u pozicije 1.3., 2.3. i 3.3. - Ostalo, uključeni su krediti vladi i vladinim institucijama, krediti bankama i drugim finansijskim institucija i ostali krediti.</t>
  </si>
  <si>
    <t>31.03.2021.</t>
  </si>
  <si>
    <t>31.03.2022.</t>
  </si>
  <si>
    <t>31.03.2023.</t>
  </si>
  <si>
    <t>Pon. kamatne stope na kratkoročne depozite</t>
  </si>
  <si>
    <t>Pon. kamatne stope na dugoročne depozite</t>
  </si>
  <si>
    <t>Napomena: u pozicije 1.3., 2.3. i 3.3. - Ostalo, uključeni su depoziti vlade i vladinih institucija, depoziti banaka i drugih finansijskih institucija i ostali depoziti.</t>
  </si>
  <si>
    <t>1a)</t>
  </si>
  <si>
    <t>Gotov novac i kamatonosni računi depozita</t>
  </si>
  <si>
    <t>1b)</t>
  </si>
  <si>
    <t>Kamatonosni računi depozita</t>
  </si>
  <si>
    <t>Mikrokrediti, neto (3a-3b+3c-3d-3e)</t>
  </si>
  <si>
    <t>Mikrokrediti (potraživanja iz osnova glavnice</t>
  </si>
  <si>
    <t>Rezerve za kreditne gubitke (glavnica)</t>
  </si>
  <si>
    <t>Dospjela potraživanja po osnovu kamata</t>
  </si>
  <si>
    <t>Rezerve za kreditne gubitke (kamata)</t>
  </si>
  <si>
    <t>3e)</t>
  </si>
  <si>
    <t>Materijalna i nematerijalna imovina, neto (4a+4b)</t>
  </si>
  <si>
    <t>4a)</t>
  </si>
  <si>
    <t>Materijalna i nematerijalna imovina u vlasništvu MKO, neto (4a1.-4a2.)</t>
  </si>
  <si>
    <t>4a)1.</t>
  </si>
  <si>
    <t>Materijalna i nematerijalna imovina u vlasništvu MKO, bruto</t>
  </si>
  <si>
    <t>4a)2.</t>
  </si>
  <si>
    <t>Ispravka vrijednosti materijalne i nematerijalne imovine u vlasništvu MKO</t>
  </si>
  <si>
    <t>4b)</t>
  </si>
  <si>
    <t>Materijalna i nematerijalna imovina u korištenju MKO, neto (4b1.-4b2.)</t>
  </si>
  <si>
    <t>4b)1.</t>
  </si>
  <si>
    <t xml:space="preserve">Materijalna i nematerijalna imovina u korištenju MKO, bruto </t>
  </si>
  <si>
    <t>4b)2.</t>
  </si>
  <si>
    <t>Ispravka vrijednosti materijalne i nematerijalne imovine u korištenju MKO</t>
  </si>
  <si>
    <t>UKUPNA AKTIVA (1+2+3+4+5+6-7)</t>
  </si>
  <si>
    <t>Obaveze po uzetim kreditima, neto (9a+9b+9c)</t>
  </si>
  <si>
    <t xml:space="preserve">9a) </t>
  </si>
  <si>
    <t>Obaveze po uzetim kratkoročnim kreditima</t>
  </si>
  <si>
    <t xml:space="preserve">9b) </t>
  </si>
  <si>
    <t>Obaveze po uzetim dugoročnim kreditima</t>
  </si>
  <si>
    <t xml:space="preserve">9c) </t>
  </si>
  <si>
    <t>UKUPNE OBAVEZE (9+10)</t>
  </si>
  <si>
    <t>Emisiona ažia</t>
  </si>
  <si>
    <t>Višak prihoda nad rashodima / neraspoređena dobit</t>
  </si>
  <si>
    <t>15a)</t>
  </si>
  <si>
    <t>za prethodne godine</t>
  </si>
  <si>
    <t>15b)</t>
  </si>
  <si>
    <t>za tekuću godinu</t>
  </si>
  <si>
    <t>Manjak prihoda nad rashodima</t>
  </si>
  <si>
    <t>16a)</t>
  </si>
  <si>
    <t>16b)</t>
  </si>
  <si>
    <t>Ostale rezerve / zakonske rezerve</t>
  </si>
  <si>
    <t>UKUPAN KAPITAL (12+13+14+15-16+17)</t>
  </si>
  <si>
    <t>UKUPNA PASIVA  (11+18)</t>
  </si>
  <si>
    <t>VANBILANSNA EVIDENCIJA</t>
  </si>
  <si>
    <t xml:space="preserve">20. </t>
  </si>
  <si>
    <t xml:space="preserve">Otpisani krediti (glavnica i redovna kamata) - stanje na izvještajni datum </t>
  </si>
  <si>
    <t xml:space="preserve">Otpisani krediti (zatezna kamata) - stanje na izvještajni datum </t>
  </si>
  <si>
    <t xml:space="preserve">22. </t>
  </si>
  <si>
    <t xml:space="preserve">Otpisani krediti (sudski troškovi) - stanje na izvještajni datum </t>
  </si>
  <si>
    <t>Ukupno otpisani krediti (20+21+22)</t>
  </si>
  <si>
    <t>Odobrena nepovučena kreditna sredstva od strane povjerilaca</t>
  </si>
  <si>
    <t>Komisioni poslovi</t>
  </si>
  <si>
    <t>Sudske tužbe, rješenja nadležnih organa koja su potencijalna obaveza MKO, a koja još nisu evidentirana u bilansnim evidencijama i sl.</t>
  </si>
  <si>
    <t>Ostalo (sve ostale vanbilansne stavke koje nisu obuhvaćene naprijed navedenim)</t>
  </si>
  <si>
    <t>Indeks (6/3)</t>
  </si>
  <si>
    <t>Indeks    (6/3)</t>
  </si>
  <si>
    <t>Višak/manjak prihoda nad rashodima</t>
  </si>
  <si>
    <t xml:space="preserve">Obaveze po uzetim kratkoročnim kreditima </t>
  </si>
  <si>
    <t>RKG - rezerve za kreditne gubitke</t>
  </si>
  <si>
    <t>Dugoročni mikrokrediti</t>
  </si>
  <si>
    <t>Sektor</t>
  </si>
  <si>
    <t>4/3</t>
  </si>
  <si>
    <t>Standardi i ograničenja*</t>
  </si>
  <si>
    <t>Broj aktivnih kreditnih partija</t>
  </si>
  <si>
    <t>Broj otpisanih kreditnih partija</t>
  </si>
  <si>
    <t>Stopa fiksne aktive u odnosu na ukupnu aktivu umanjenu za donirani kapital</t>
  </si>
  <si>
    <t>do 10%</t>
  </si>
  <si>
    <t>Stopa kapitala umanjenog za donirani kapital u odnosu na aktivu</t>
  </si>
  <si>
    <t>preko 10%</t>
  </si>
  <si>
    <t>Portolio u riziku preko 30 dana (PAR&gt;30 dana)</t>
  </si>
  <si>
    <t>do 5%</t>
  </si>
  <si>
    <t>Godišnja stopa otpisa</t>
  </si>
  <si>
    <t>do 3%</t>
  </si>
  <si>
    <t>Omjer RKG</t>
  </si>
  <si>
    <t>Operativna efikasnost poslovanja</t>
  </si>
  <si>
    <t>do 45%</t>
  </si>
  <si>
    <t>Prilagođeni povrat na aktivu (AROA)**</t>
  </si>
  <si>
    <t>pozitivna</t>
  </si>
  <si>
    <t>Operativna održivost***</t>
  </si>
  <si>
    <t>* Standardi i ograničenja propisani čl. 11. i 12. Odluke o uslovima i ostalim standardima poslovanja i ograničenjima u mikrokreditnoj organizaciji</t>
  </si>
  <si>
    <t>** Povrat na aktivu prilagođen za inflaciju, tržišnu cijenu kapitala i donacije</t>
  </si>
  <si>
    <t>***Ukupni prihodi (umanjeni za naplatu otpisanih potraživanja i ostalih poslovnih prihoda)/Ukupni rashodi</t>
  </si>
  <si>
    <t>OPIS</t>
  </si>
  <si>
    <t>Broj zaključenih ugovora</t>
  </si>
  <si>
    <t>Isplate mikrokredita u 000 KM</t>
  </si>
  <si>
    <t>Ponderisana NKS (prosječna)                    %</t>
  </si>
  <si>
    <t>Ponderisana EKS (prosječna)                 %</t>
  </si>
  <si>
    <t>Kratkoročni mikrokrediti za:</t>
  </si>
  <si>
    <t>uslužne djelatnosti</t>
  </si>
  <si>
    <t>trgovinu</t>
  </si>
  <si>
    <t>poljoprivredu</t>
  </si>
  <si>
    <t>proizvodnju</t>
  </si>
  <si>
    <t>stambene potrebe</t>
  </si>
  <si>
    <t>nenamjenski-osnovne potrebe</t>
  </si>
  <si>
    <t>ostalo</t>
  </si>
  <si>
    <t>Dugoročni mikrokrediti za:</t>
  </si>
  <si>
    <t>2.6.</t>
  </si>
  <si>
    <t>2.7.</t>
  </si>
  <si>
    <t>Ukupni mikrokrediti</t>
  </si>
  <si>
    <t>NKS - nominalna kamatna stopa</t>
  </si>
  <si>
    <t>EKS - efektivna kamatna stopa</t>
  </si>
  <si>
    <t>NKS na:</t>
  </si>
  <si>
    <t>Kratkoročne mikrokredite</t>
  </si>
  <si>
    <t>Dugoročne mikrokredite</t>
  </si>
  <si>
    <t>Ukupne mikrokredite</t>
  </si>
  <si>
    <t>EKS na:</t>
  </si>
  <si>
    <t>- u % -</t>
  </si>
  <si>
    <t>01.01. - 31.03.2021.</t>
  </si>
  <si>
    <t>01.01. - 31.03.2022.</t>
  </si>
  <si>
    <t>01.01. - 31.03.2023.</t>
  </si>
  <si>
    <t>PRIHODI I RASHODI PO KAMATAMA</t>
  </si>
  <si>
    <t>Prihodi od kamata i slični prihodi (1.1.+1.2.+1.3.+1.4.+1.5.+1.6.)</t>
  </si>
  <si>
    <t>Naknade za prijevremenu otplatu kredita</t>
  </si>
  <si>
    <t>Ostali prihodi od kamata i slični prihodi (zatezne kamate i sl.)</t>
  </si>
  <si>
    <t>Rashodi po kamatama i slični rashodi (2.1.+2.2.+2.3.+2.4.)</t>
  </si>
  <si>
    <t>Ostali rashodi po kamatama i slični rashodi (zatezne kamate i sl.)</t>
  </si>
  <si>
    <t xml:space="preserve">Neto prihodi od kamata i sličnih prihoda (1 - 2.) </t>
  </si>
  <si>
    <t>OPERATIVNI PRIHODI I RASHODI</t>
  </si>
  <si>
    <t>Operativni prihodi (4.1.+4.2.+4.3.)</t>
  </si>
  <si>
    <t>4.1.</t>
  </si>
  <si>
    <t>4.2.</t>
  </si>
  <si>
    <t>Prihod od naplaćenih otpisanih potraživanja</t>
  </si>
  <si>
    <t>4.3.</t>
  </si>
  <si>
    <t>Operativni rashodi (5.1.+5.2.+5.3.+5.4.+5.5.)</t>
  </si>
  <si>
    <t>5.1.</t>
  </si>
  <si>
    <t>Troškovi plaća i doprinosa</t>
  </si>
  <si>
    <t>5.2.</t>
  </si>
  <si>
    <t>Troškovi amortizacije (5.2.1.+5.2.2.)</t>
  </si>
  <si>
    <t>5.2.1.</t>
  </si>
  <si>
    <t>Troškovi amortizacije fiksne aktive u vlasništvu</t>
  </si>
  <si>
    <t>5.2.2.</t>
  </si>
  <si>
    <t>Troškovi amortizacije fiksne aktive u korištenju</t>
  </si>
  <si>
    <t>5.3.</t>
  </si>
  <si>
    <t>5.4.</t>
  </si>
  <si>
    <t>5.5.</t>
  </si>
  <si>
    <t>OSTALI POSLOVNI PRIHODI I RASHODI</t>
  </si>
  <si>
    <t>Ostali poslovni prihodi (6.1.+6.2.+6.3.)</t>
  </si>
  <si>
    <t>6.1.</t>
  </si>
  <si>
    <t>Dobici od prodaje osnovnih sredstava i nematerijalnih ulaganja</t>
  </si>
  <si>
    <t>6.2.</t>
  </si>
  <si>
    <t>6.3.</t>
  </si>
  <si>
    <t>Ostali poslovni rashodi (7.1.+7.2.+7.3.)</t>
  </si>
  <si>
    <t>Gubici od prodaje osnovnih sredstava i nematerijalnih ulaganja</t>
  </si>
  <si>
    <t>Ostali rashodi</t>
  </si>
  <si>
    <t>Troškovi rezerviranja za kreditne i druge gubitke (8.1.+8.2.+8.3.)</t>
  </si>
  <si>
    <t>Rezervisanja za date kredite - glavnica</t>
  </si>
  <si>
    <t>Rezervisanja za date kredite - kamata</t>
  </si>
  <si>
    <t>Ostala rezervisanja</t>
  </si>
  <si>
    <t>Dobit/gubitak i Višak/manjak prihoda nad rashodima prije oporezivanja (3.+4.-5.+6.-7.-8.)</t>
  </si>
  <si>
    <t>Porez dobit i na višak prihoda nad rashodima</t>
  </si>
  <si>
    <t>Neto dobit i višak/manjak prihoda nad rashodima (9.-10.)</t>
  </si>
  <si>
    <t>Prihodi od dividendi i učešća (ulaganja)</t>
  </si>
  <si>
    <t>Gubici po osnovu rashodovanja i otpisa osnovnih sredstava i nematerijalnih ulaganja</t>
  </si>
  <si>
    <t>Potraživanja po finansijskom lizingu                     (u 000 KM)</t>
  </si>
  <si>
    <t>Neto stanje sredstava datih u operativni lizing (u 000 KM)</t>
  </si>
  <si>
    <t>PORSCHE LEASING d.o.o. Sarajevo Društvo za poslove lizinga</t>
  </si>
  <si>
    <t xml:space="preserve">www.porscheleasing.ba  </t>
  </si>
  <si>
    <t>RAIFFEISEN LEASING d.o.o. Sarajevo, Društvo za poslove leasinga</t>
  </si>
  <si>
    <t xml:space="preserve">www.rlbh.ba  </t>
  </si>
  <si>
    <t>Nedim Milišić</t>
  </si>
  <si>
    <t>www.scania.com/ba</t>
  </si>
  <si>
    <t>Damir Slipičević</t>
  </si>
  <si>
    <t xml:space="preserve">www.s-leasing.ba </t>
  </si>
  <si>
    <t>Elma Hošo</t>
  </si>
  <si>
    <t>Napomena: nazivi lizing društava preuzeti su iz rješenja o upisu u sudski registar</t>
  </si>
  <si>
    <t xml:space="preserve">Broj zaposlenih </t>
  </si>
  <si>
    <t>Potraživanja po finansijskom lizingu, neto (3a-3b-3c-3d)</t>
  </si>
  <si>
    <t xml:space="preserve">Potraživanja po finansijskom lizingu, bruto </t>
  </si>
  <si>
    <t>Odgođeni prihodi po osnovu kamata</t>
  </si>
  <si>
    <t>Odgođeni prihodi po osnovu naknada</t>
  </si>
  <si>
    <t>Potraživanja od subsidijarnih lica</t>
  </si>
  <si>
    <t>Materijalna i nematerijalna imovina, neto (5a+5b-5c-5d)</t>
  </si>
  <si>
    <t>Materijalna i nematerijalna imovina - vlastita sredstva</t>
  </si>
  <si>
    <t xml:space="preserve">Materijalna i nematerijalna imovina - operativnog lizinga </t>
  </si>
  <si>
    <t>5c)</t>
  </si>
  <si>
    <t>Ispravka vrijednosti - vlastita sredstva</t>
  </si>
  <si>
    <t>5d)</t>
  </si>
  <si>
    <t>Ispravka vrijednosti - operativni lizing</t>
  </si>
  <si>
    <t>Ostala aktiva (7a+7b+7c)</t>
  </si>
  <si>
    <t>7a)</t>
  </si>
  <si>
    <t>Zajmovi, neto (7a1-7a2)</t>
  </si>
  <si>
    <t>7a1)</t>
  </si>
  <si>
    <t>Zajmovi (dospjela potraž.+nedospjela glavnica)</t>
  </si>
  <si>
    <t>7a2)</t>
  </si>
  <si>
    <t>Rezerve za zajmove</t>
  </si>
  <si>
    <t>7b)</t>
  </si>
  <si>
    <t>Zalihe</t>
  </si>
  <si>
    <t>7c)</t>
  </si>
  <si>
    <t>UKUPNO AKTIVA</t>
  </si>
  <si>
    <t xml:space="preserve">Obaveze po uzetim kreditima, neto </t>
  </si>
  <si>
    <t>8a)</t>
  </si>
  <si>
    <t>Obaveze po kratkoročnim kreditima</t>
  </si>
  <si>
    <t>8b)</t>
  </si>
  <si>
    <t>Obaveze po dugoročnim kreditima</t>
  </si>
  <si>
    <t>8c)</t>
  </si>
  <si>
    <t>Unaprijed plaćeni troškovi i naknada</t>
  </si>
  <si>
    <t>UKUPNO OBAVEZE</t>
  </si>
  <si>
    <t>Akumulirana dobit/gubitak</t>
  </si>
  <si>
    <t>UKUPNO KAPITAL</t>
  </si>
  <si>
    <t>UKUPNO PASIVA</t>
  </si>
  <si>
    <t>Otpisana potraživanja (početno stanje)</t>
  </si>
  <si>
    <t>Novi otpis (+)</t>
  </si>
  <si>
    <t>Naplata (-)</t>
  </si>
  <si>
    <t>Trajni otpis (-)</t>
  </si>
  <si>
    <t>Otpisana potraživanja (krajnje stanje)</t>
  </si>
  <si>
    <t>Ostala vanbilansna evidencija</t>
  </si>
  <si>
    <t>Predmet lizinga</t>
  </si>
  <si>
    <t xml:space="preserve">Vozila za obavljanje djelatnosti </t>
  </si>
  <si>
    <t>Opis pozicije</t>
  </si>
  <si>
    <t>Ukupan iznos potraživanja</t>
  </si>
  <si>
    <t>Neto potraživanja</t>
  </si>
  <si>
    <t>Broj izuzetih predmeta</t>
  </si>
  <si>
    <t>Procijenjena tržišna vrijednost predmeta lizinga u 000 KM</t>
  </si>
  <si>
    <t>Indeks (6/4)</t>
  </si>
  <si>
    <t>Učešće      %</t>
  </si>
  <si>
    <t>I</t>
  </si>
  <si>
    <t>Finansijski prihodi i rashodi</t>
  </si>
  <si>
    <t xml:space="preserve">  1.</t>
  </si>
  <si>
    <t xml:space="preserve">Prihodi od kamata </t>
  </si>
  <si>
    <t xml:space="preserve">  1a)</t>
  </si>
  <si>
    <t xml:space="preserve">  1b)</t>
  </si>
  <si>
    <t>Kamate po finansijskom lizingu</t>
  </si>
  <si>
    <t xml:space="preserve">  1c)</t>
  </si>
  <si>
    <t>Naknade (za obradu lizing zahtjeva itd.)</t>
  </si>
  <si>
    <t xml:space="preserve">  1d)</t>
  </si>
  <si>
    <t>Ostali prihodi po kamatama</t>
  </si>
  <si>
    <t xml:space="preserve">  2.</t>
  </si>
  <si>
    <t xml:space="preserve">Rashodi po kamatama </t>
  </si>
  <si>
    <t xml:space="preserve">  2a)</t>
  </si>
  <si>
    <t xml:space="preserve">  2b)</t>
  </si>
  <si>
    <t xml:space="preserve">  2c)</t>
  </si>
  <si>
    <t>Ostali rashodi po kamatama</t>
  </si>
  <si>
    <t xml:space="preserve">  3.</t>
  </si>
  <si>
    <t xml:space="preserve">Neto prihodi od kamata </t>
  </si>
  <si>
    <t>II</t>
  </si>
  <si>
    <t>Operativni prihodi i rashodi</t>
  </si>
  <si>
    <t xml:space="preserve"> 4.</t>
  </si>
  <si>
    <t xml:space="preserve">Operativni prihodi </t>
  </si>
  <si>
    <t xml:space="preserve">  4a)</t>
  </si>
  <si>
    <t xml:space="preserve">  4b)</t>
  </si>
  <si>
    <t>Naknada za operativni najam</t>
  </si>
  <si>
    <t xml:space="preserve">  4c)</t>
  </si>
  <si>
    <t>Prihod od prodaje lizing objekta</t>
  </si>
  <si>
    <t xml:space="preserve">  4d)</t>
  </si>
  <si>
    <t>4d)1</t>
  </si>
  <si>
    <t>Prihodi od naplaćenih otpisanih potraživanja</t>
  </si>
  <si>
    <t>4d)2</t>
  </si>
  <si>
    <t>Prihodi od opomena</t>
  </si>
  <si>
    <t>4d)3</t>
  </si>
  <si>
    <t>Operativni rashodi (5a+5b+5c+5d)</t>
  </si>
  <si>
    <t>Troškovi plata i doprinosa (5a1+5a2)</t>
  </si>
  <si>
    <t>5a)1</t>
  </si>
  <si>
    <t>Plaće (bruto)</t>
  </si>
  <si>
    <t>5a)2</t>
  </si>
  <si>
    <t>Ostale naknade zaposlenim (topli obrok, regres itd.)</t>
  </si>
  <si>
    <t>Troškovi poslovnog prostora (5b1+5b2)</t>
  </si>
  <si>
    <t>5b)1</t>
  </si>
  <si>
    <t>Troškovi amortizacije (5b1.1.+5b1.2.)</t>
  </si>
  <si>
    <t>5b)1.1.</t>
  </si>
  <si>
    <t>Troškovi amortizacije - operativni lizing</t>
  </si>
  <si>
    <t>5b)1.2.</t>
  </si>
  <si>
    <t>Troškovi amortizacije - ostala sredstva</t>
  </si>
  <si>
    <t>5b)2</t>
  </si>
  <si>
    <t>Ostali troškovi</t>
  </si>
  <si>
    <t>Troškovi prodaje lizing objekta, neto</t>
  </si>
  <si>
    <t>Ostali operativni troškovi</t>
  </si>
  <si>
    <t>5d)1</t>
  </si>
  <si>
    <t>5d)2</t>
  </si>
  <si>
    <t>5d)3</t>
  </si>
  <si>
    <t>Troškovi rezervi za gubitke (6a+6b)</t>
  </si>
  <si>
    <t>6a)</t>
  </si>
  <si>
    <t>Troškovi rezervi po finansijskom lizingu</t>
  </si>
  <si>
    <t>6b)</t>
  </si>
  <si>
    <t>Troškovi rezervi za zajmove</t>
  </si>
  <si>
    <t xml:space="preserve"> Dobit prije poreza  </t>
  </si>
  <si>
    <t xml:space="preserve"> 8. </t>
  </si>
  <si>
    <t xml:space="preserve"> Porez na dobit</t>
  </si>
  <si>
    <t xml:space="preserve"> Neto dobit/gubitak</t>
  </si>
  <si>
    <t>O P I S</t>
  </si>
  <si>
    <t>Broj ugovora</t>
  </si>
  <si>
    <t>Iznos  finansiranja    (u 000 KM)</t>
  </si>
  <si>
    <t>Ponderisana NKS                     %</t>
  </si>
  <si>
    <t>Ponderisana EKS                      %</t>
  </si>
  <si>
    <t>Kratkoročni lizing ugovor prema predmetu lizinga:</t>
  </si>
  <si>
    <t>a.</t>
  </si>
  <si>
    <t>putnička vozila</t>
  </si>
  <si>
    <t>b.</t>
  </si>
  <si>
    <t>vozila za obavlja.djelatnosti (terenska i putnička)</t>
  </si>
  <si>
    <t>c.</t>
  </si>
  <si>
    <t>mašine i oprema</t>
  </si>
  <si>
    <t>d.</t>
  </si>
  <si>
    <t>nekretnine</t>
  </si>
  <si>
    <t xml:space="preserve">e. </t>
  </si>
  <si>
    <t>Kratkoročni lizing ugovor prema korisniku lizinga:</t>
  </si>
  <si>
    <t>pravna lica</t>
  </si>
  <si>
    <t>preduzetnici</t>
  </si>
  <si>
    <t>fizička lica</t>
  </si>
  <si>
    <t>Dugoročni lizing ugovor prema predmetu lizinga:</t>
  </si>
  <si>
    <t>Dugoročni lizing ugovor prema korisniku lizinga:</t>
  </si>
  <si>
    <t>UKUPNO (1+2)</t>
  </si>
  <si>
    <t>NKS = nominalna kamatna stopa</t>
  </si>
  <si>
    <t>EKS = efektivna kamatna stopa</t>
  </si>
  <si>
    <t>R.</t>
  </si>
  <si>
    <t>br.</t>
  </si>
  <si>
    <t>Kratkoročni lizing ugovori:</t>
  </si>
  <si>
    <t>Dugoročni lizing ugovori:</t>
  </si>
  <si>
    <t>u %</t>
  </si>
  <si>
    <t>Prihod po osnovu otpuštanja rezervi za gubitke</t>
  </si>
  <si>
    <t>12=10/5</t>
  </si>
  <si>
    <t xml:space="preserve"> Indeks (5/3)</t>
  </si>
  <si>
    <t>Tabela 19: Sektorska struktura depozita</t>
  </si>
  <si>
    <t>Tabela 20: Struktura depozita stanovništva</t>
  </si>
  <si>
    <t xml:space="preserve">Tabela 21: Štednja stanovništva  </t>
  </si>
  <si>
    <t>Tabela 22: Ročna struktura štednih depozita stanovništva</t>
  </si>
  <si>
    <t>Tabela 23: Krediti, štednja i depoziti stanovništva</t>
  </si>
  <si>
    <t xml:space="preserve">Tabela 24: Izvještaj o stanju regulatornog kapitala </t>
  </si>
  <si>
    <t>Tabela 25: Struktura izloženosti riziku</t>
  </si>
  <si>
    <t>Tabela 26: Pokazatelji adekvatnosti kapitala</t>
  </si>
  <si>
    <t>Tabela 27: Stopa finansijske poluge</t>
  </si>
  <si>
    <t xml:space="preserve">Tabela 28: Finansijska imovina, vanbilansne stavke i ECL </t>
  </si>
  <si>
    <t>Tabela 29: Izloženosti prema nivoima kreditnog rizika</t>
  </si>
  <si>
    <t>Tabela 30: Sektorska struktura kredita</t>
  </si>
  <si>
    <t>Tabela 31: Ročna struktura kredita</t>
  </si>
  <si>
    <t>Tabela 32: Krediti prema nivoima kreditnog rizika</t>
  </si>
  <si>
    <t xml:space="preserve">Tabela 33: Učešće NPL-a u kreditima	</t>
  </si>
  <si>
    <t>Tabela 34: Sektorska struktura kredita prema NACE šifarniku djelatnosti, nivoima kreditnog rizika i ECL</t>
  </si>
  <si>
    <t>Tabela 35: Struktura kredita za opću potrošnju</t>
  </si>
  <si>
    <t>Tabela 36: Pokazatelji kreditnog rizika</t>
  </si>
  <si>
    <t xml:space="preserve">Tabela 37: Bilans uspjeha banaka u FBiH   </t>
  </si>
  <si>
    <t>Tabela 38: Ostvareni finansijski rezultat banaka</t>
  </si>
  <si>
    <t>Tabela 39: Struktura ukupnih prihoda banaka</t>
  </si>
  <si>
    <t>Tabela 40: Struktura ukupnih rashoda banaka</t>
  </si>
  <si>
    <t>Tabela 41: Pokazatelji profitabilnosti, produktivnosti i efikasnosti</t>
  </si>
  <si>
    <t>Tabela 42: Prosječne ponderisane NKS i EKS na kredite po periodima</t>
  </si>
  <si>
    <t>Tabela 43: Prosječne ponderisane NKS i EKS na depozite po periodima</t>
  </si>
  <si>
    <t>Tabela 44: LCR</t>
  </si>
  <si>
    <t>Tabela 45: Zaštitni sloj likvidnosti</t>
  </si>
  <si>
    <t>Tabela 46: Neto likvidnosni odlivi</t>
  </si>
  <si>
    <t>Tabela 47: NSFR</t>
  </si>
  <si>
    <t>Tabela 48: Struktura ASF</t>
  </si>
  <si>
    <t>Tabela 49: Struktura RSF</t>
  </si>
  <si>
    <t>Tabela 50: Ročna struktura depozita po preostalom dospijeću</t>
  </si>
  <si>
    <t>Tabela 51: Ročna usklađenost finansijske imovine i finansijskih obaveza do 180 dana</t>
  </si>
  <si>
    <t>Tabela 52: Pokazatelji likvidnosti</t>
  </si>
  <si>
    <t>Tabela 53: Devizna pozicija (EUR i ukupno)</t>
  </si>
  <si>
    <t>Tabela 54: Ukupna ponderisana pozicija bankarske knjige</t>
  </si>
  <si>
    <t>Tabela 55: Osnovni podaci o NFI sa sjedištem u FBiH (broj, poslovna mreža i struktura vlasništva), NFI iz RS-a koje posluju u FBiH i banaka koje obavljaju poslove faktoringa</t>
  </si>
  <si>
    <t>Tabela 56: Pregled osnovnih podataka MKO u FBiH</t>
  </si>
  <si>
    <t>Tabela 57: Kvalifikaciona struktura zaposlenih u MKO u FBiH</t>
  </si>
  <si>
    <t>Tabela 58: Ukupna aktiva po zaposlenom u MKO</t>
  </si>
  <si>
    <t xml:space="preserve">Tabela 59: Bilans stanja mikrokreditnog sektora   </t>
  </si>
  <si>
    <t xml:space="preserve">Tabela 60: Struktura kapitala mikrokreditnog sektora  </t>
  </si>
  <si>
    <t xml:space="preserve">Tabela 61: Ročna struktura uzetih kredita </t>
  </si>
  <si>
    <t xml:space="preserve">Tabela 62: Neto mikrokrediti  </t>
  </si>
  <si>
    <t>Tabela 63: Sektorska i ročna struktura mikrokredita</t>
  </si>
  <si>
    <t>Tabela 64:  Sektorska struktura mikrokredita (usporedni pregled)</t>
  </si>
  <si>
    <t xml:space="preserve">Tabela 65: RKG </t>
  </si>
  <si>
    <t xml:space="preserve">Tabela 66: Izdvojeni podaci, standardi i ograničenja poslovanja MKO </t>
  </si>
  <si>
    <t>Tabela 67: Pregled prosječnih ponderisanih NKS i EKS za MKO</t>
  </si>
  <si>
    <t>Tabela 68: Usporedni pregled prosječnih ponderisanih NKS i EKS za MKO (za pet godina)</t>
  </si>
  <si>
    <t>Tabela 69: Bilans uspjeha mikrokreditnog sektora</t>
  </si>
  <si>
    <t>Tabela 70: Ostvareni finansijski rezultat MKO</t>
  </si>
  <si>
    <t>Tabela 71: Struktura ukupnih prihoda MKO</t>
  </si>
  <si>
    <t>Tabela 72: Struktura ukupnih rashoda MKO</t>
  </si>
  <si>
    <t>Tabela 73: Pregled osnovnih podataka lizing društava u FBiH</t>
  </si>
  <si>
    <t>Tabela 74: Kvalifikaciona struktura zaposlenih u lizing društvima u FBiH</t>
  </si>
  <si>
    <t>Tabela 75: Ukupna aktiva po zaposlenom u lizing društvima</t>
  </si>
  <si>
    <t>Tabela 76: Bilans stanja lizing sektora</t>
  </si>
  <si>
    <t xml:space="preserve">Tabela 77: Struktura potraživanja po finansijskom lizingu </t>
  </si>
  <si>
    <t>Tabela 78:  Struktura potraživanja po finansijskom lizingu (usporedni pregled)</t>
  </si>
  <si>
    <t>Tabela 79: Pregled rezervi za finansijski lizing</t>
  </si>
  <si>
    <t>Tabela 79a: Neto potraživanja po finansijskom lizingu jedne banke koja obavlja poslove lizinga</t>
  </si>
  <si>
    <t>Tabela 80:  Struktura procijenjene tržišne vrijednosti izuzetih predmeta lizinga i broja izuzetih predmeta lizing sektora</t>
  </si>
  <si>
    <t>Tabela 80a: Struktura procijenjene tržišne vrijednosti izuzetih predmeta lizinga i broja izuzetih predmeta jedne banke koja obavlja poslove lizinga</t>
  </si>
  <si>
    <t>Tabela 81:  Bilans uspjeha lizing sektora</t>
  </si>
  <si>
    <t>Tabela 82: Ostvareni finansijski rezultat lizing društava</t>
  </si>
  <si>
    <t>Tabela 83: Struktura ukupnih prihoda lizing društava</t>
  </si>
  <si>
    <t>Tabela 84: Struktura ukupnih rashoda lizing društava</t>
  </si>
  <si>
    <t>Tabela 85: Struktura broja zaključenih ugovora i iznosa finansiranja lizing sistema</t>
  </si>
  <si>
    <t>Tabela 85a: Struktura broja zaključenih ugovora i iznosa finansiranja jedne banke koja obavlja poslove finansijskog lizinga</t>
  </si>
  <si>
    <t xml:space="preserve">Tabela 86: Pregled prosječnih ponderisanih NKS i EKS za ugovore o finansijskom lizingu </t>
  </si>
  <si>
    <t>Tabela 87: Usporedni pregled prosječnih ponderisanih NKS i EKS za ugovore o finansijskom lizingu (za pet godina)</t>
  </si>
  <si>
    <t xml:space="preserve">Tabela 88: Nominalni iznos otkupljenih novčanih potraživanja i isplaćenih kupčevih obaveza prema dobavljačima u FBiH, prema vrsti faktoringa i domicilnosti </t>
  </si>
  <si>
    <t>Tabela 88: Nominalni iznos otkupljenih novčanih potraživanja i isplaćenih kupčevih obaveza prema dobavljačima u FBiH, prema vrsti faktoringa i domicilnosti</t>
  </si>
  <si>
    <t>Tabela79a: Neto potraživanja po finansijskom lizingu jedne banke koja obavlja poslove lizinga</t>
  </si>
  <si>
    <t>Tabela 77: Struktura potraživanja po finansijskom lizingu</t>
  </si>
  <si>
    <t>Tabela 74: Kvalifikaciona struktura zaposlenih u lizing društvima FBiH</t>
  </si>
  <si>
    <t xml:space="preserve">Tabela 69: Bilans uspjeha mikrokreditnog sektora   </t>
  </si>
  <si>
    <t xml:space="preserve">Tabela 67: Pregled prosječnih ponderisanih NKS i EKS za MKO </t>
  </si>
  <si>
    <t xml:space="preserve">* Najveći dio, cca. 89%, odnosi se na obveznice banaka iz EU, USA i Turske </t>
  </si>
  <si>
    <t>ECL  za Nivo kreditnog rizika 1</t>
  </si>
  <si>
    <t>ECL za Nivo kreditnog rizika 2</t>
  </si>
  <si>
    <t>ECL  za Nivo kreditnog rizika 3</t>
  </si>
  <si>
    <t>Michele Castoro</t>
  </si>
  <si>
    <t>Francuska</t>
  </si>
  <si>
    <t>Luksemburg</t>
  </si>
  <si>
    <t>Broj OD NFI iz FBiH u RS</t>
  </si>
  <si>
    <t>** Sa 31.03.2025. ukupno je 13 MKO koje imaju dozvolu za rad, od čega je devet MKF i četiri MKD</t>
  </si>
  <si>
    <r>
      <rPr>
        <b/>
        <sz val="13"/>
        <color theme="8" tint="-0.499984740745262"/>
        <rFont val="Calibri"/>
        <family val="2"/>
        <scheme val="minor"/>
      </rPr>
      <t>MKD</t>
    </r>
    <r>
      <rPr>
        <sz val="13"/>
        <color theme="8" tint="-0.499984740745262"/>
        <rFont val="Calibri"/>
        <family val="2"/>
        <scheme val="minor"/>
      </rPr>
      <t>: tri su MKD u 100%-tnom vlasništvu tri MKF, a jedno MKD je u 100%-tnom vlasništvu RPL</t>
    </r>
  </si>
  <si>
    <r>
      <rPr>
        <b/>
        <sz val="13"/>
        <color theme="8" tint="-0.499984740745262"/>
        <rFont val="Calibri"/>
        <family val="2"/>
        <scheme val="minor"/>
      </rPr>
      <t>Lizing društva</t>
    </r>
    <r>
      <rPr>
        <sz val="13"/>
        <color theme="8" tint="-0.499984740745262"/>
        <rFont val="Calibri"/>
        <family val="2"/>
        <scheme val="minor"/>
      </rPr>
      <t>: dva lizing društva su u 100%-tnom vlasništvu NRPL, jedno lizing društvo je u većinskom vlasništvu NRPL, dok je jedno lizing društvo u 100%-tnom vlasništvu RPL</t>
    </r>
  </si>
  <si>
    <r>
      <rPr>
        <b/>
        <sz val="13"/>
        <color theme="8" tint="-0.499984740745262"/>
        <rFont val="Calibri"/>
        <family val="2"/>
        <scheme val="minor"/>
      </rPr>
      <t>Banke koje obavljaju poslove faktoringa</t>
    </r>
    <r>
      <rPr>
        <sz val="13"/>
        <color theme="8" tint="-0.499984740745262"/>
        <rFont val="Calibri"/>
        <family val="2"/>
        <scheme val="minor"/>
      </rPr>
      <t>: dvije banke koje obavljaju poslove faktoringa članice su međunarodnih bankarskih grupa sa sjedištem u zemljama članicama EU, dok je jedna banka u pretežno domaćem vlasništvu</t>
    </r>
  </si>
  <si>
    <t xml:space="preserve">www.mi-bospo.org              </t>
  </si>
  <si>
    <t>Sulejman Hadžić</t>
  </si>
  <si>
    <t xml:space="preserve">„Scania Leasing BH“ društvo sa ograničenom odgovornošću </t>
  </si>
  <si>
    <t>Sparkasse Leasing d.o.o. Sarajevo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</si>
</sst>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rgb="FF1F3864"/>
      <name val="Calibri"/>
      <family val="2"/>
      <scheme val="minor"/>
    </font>
    <font>
      <b/>
      <sz val="12"/>
      <color rgb="FF2E74B5"/>
      <name val="Calibri"/>
      <family val="2"/>
      <charset val="238"/>
    </font>
    <font>
      <sz val="12"/>
      <color rgb="FF2E74B5"/>
      <name val="Calibri"/>
      <family val="2"/>
      <charset val="238"/>
    </font>
    <font>
      <b/>
      <sz val="10"/>
      <color rgb="FF2E74B5"/>
      <name val="Calibri"/>
      <family val="2"/>
      <charset val="238"/>
    </font>
    <font>
      <sz val="14"/>
      <color rgb="FF000000"/>
      <name val="Times New Roman"/>
      <family val="1"/>
    </font>
    <font>
      <sz val="10"/>
      <color rgb="FF000000"/>
      <name val="Calibri"/>
      <family val="2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  <font>
      <b/>
      <sz val="9"/>
      <color theme="1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name val="Arial"/>
      <family val="2"/>
    </font>
    <font>
      <b/>
      <sz val="9"/>
      <color rgb="FF0F243E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rgb="FF2E74B5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u/>
      <sz val="12"/>
      <color rgb="FF2E74B5"/>
      <name val="Calibri"/>
      <family val="2"/>
      <scheme val="minor"/>
    </font>
    <font>
      <u/>
      <sz val="11"/>
      <color rgb="FF2E74B5"/>
      <name val="Calibri"/>
      <family val="2"/>
      <scheme val="minor"/>
    </font>
    <font>
      <sz val="9"/>
      <color rgb="FF1F3864"/>
      <name val="Calibri"/>
      <family val="2"/>
      <scheme val="minor"/>
    </font>
    <font>
      <sz val="10"/>
      <color rgb="FF1F3864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9"/>
      <color theme="4" tint="-0.499984740745262"/>
      <name val="Calibri"/>
      <family val="2"/>
      <charset val="204"/>
      <scheme val="minor"/>
    </font>
    <font>
      <b/>
      <sz val="11"/>
      <color theme="8" tint="-0.499984740745262"/>
      <name val="Calibri"/>
      <family val="2"/>
      <scheme val="minor"/>
    </font>
    <font>
      <sz val="12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sz val="13"/>
      <color theme="8" tint="-0.499984740745262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8" tint="-0.499984740745262"/>
      </top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auto="1"/>
      </top>
      <bottom/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63" fillId="0" borderId="0"/>
    <xf numFmtId="9" fontId="67" fillId="0" borderId="0" applyFont="0" applyFill="0" applyBorder="0" applyAlignment="0" applyProtection="0"/>
    <xf numFmtId="0" fontId="67" fillId="0" borderId="0"/>
  </cellStyleXfs>
  <cellXfs count="497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horizontal="justify"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5" fillId="0" borderId="0" xfId="0" applyFont="1"/>
    <xf numFmtId="0" fontId="8" fillId="0" borderId="0" xfId="0" applyFont="1" applyAlignment="1">
      <alignment vertical="center"/>
    </xf>
    <xf numFmtId="49" fontId="16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/>
    <xf numFmtId="0" fontId="0" fillId="2" borderId="0" xfId="0" applyFill="1"/>
    <xf numFmtId="3" fontId="0" fillId="0" borderId="0" xfId="0" applyNumberFormat="1"/>
    <xf numFmtId="3" fontId="0" fillId="2" borderId="0" xfId="0" applyNumberFormat="1" applyFill="1"/>
    <xf numFmtId="166" fontId="0" fillId="2" borderId="0" xfId="0" applyNumberFormat="1" applyFill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 applyAlignment="1">
      <alignment horizontal="right" vertical="center" indent="2"/>
    </xf>
    <xf numFmtId="0" fontId="19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21" fillId="0" borderId="0" xfId="0" applyFont="1"/>
    <xf numFmtId="0" fontId="22" fillId="0" borderId="0" xfId="0" applyFont="1" applyAlignment="1">
      <alignment horizontal="justify" vertical="center"/>
    </xf>
    <xf numFmtId="49" fontId="5" fillId="0" borderId="0" xfId="0" applyNumberFormat="1" applyFont="1"/>
    <xf numFmtId="49" fontId="23" fillId="0" borderId="0" xfId="0" applyNumberFormat="1" applyFont="1" applyAlignment="1">
      <alignment horizontal="center" vertical="center"/>
    </xf>
    <xf numFmtId="10" fontId="2" fillId="0" borderId="0" xfId="0" applyNumberFormat="1" applyFont="1"/>
    <xf numFmtId="0" fontId="18" fillId="0" borderId="0" xfId="0" applyFont="1"/>
    <xf numFmtId="0" fontId="24" fillId="0" borderId="0" xfId="0" applyFont="1" applyAlignment="1">
      <alignment horizontal="center"/>
    </xf>
    <xf numFmtId="0" fontId="18" fillId="2" borderId="0" xfId="0" applyFont="1" applyFill="1"/>
    <xf numFmtId="9" fontId="0" fillId="0" borderId="0" xfId="0" applyNumberFormat="1"/>
    <xf numFmtId="2" fontId="0" fillId="0" borderId="0" xfId="0" applyNumberFormat="1"/>
    <xf numFmtId="2" fontId="18" fillId="0" borderId="0" xfId="0" applyNumberFormat="1" applyFont="1"/>
    <xf numFmtId="3" fontId="7" fillId="0" borderId="0" xfId="0" applyNumberFormat="1" applyFont="1"/>
    <xf numFmtId="3" fontId="2" fillId="0" borderId="0" xfId="0" applyNumberFormat="1" applyFont="1"/>
    <xf numFmtId="0" fontId="25" fillId="0" borderId="0" xfId="0" applyFont="1"/>
    <xf numFmtId="165" fontId="0" fillId="2" borderId="0" xfId="0" applyNumberFormat="1" applyFill="1"/>
    <xf numFmtId="10" fontId="18" fillId="0" borderId="0" xfId="0" applyNumberFormat="1" applyFont="1"/>
    <xf numFmtId="10" fontId="7" fillId="0" borderId="0" xfId="0" applyNumberFormat="1" applyFont="1"/>
    <xf numFmtId="3" fontId="1" fillId="0" borderId="0" xfId="0" applyNumberFormat="1" applyFont="1"/>
    <xf numFmtId="3" fontId="20" fillId="0" borderId="0" xfId="0" applyNumberFormat="1" applyFont="1"/>
    <xf numFmtId="0" fontId="0" fillId="0" borderId="1" xfId="0" applyBorder="1"/>
    <xf numFmtId="0" fontId="29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vertical="center" wrapText="1"/>
    </xf>
    <xf numFmtId="0" fontId="30" fillId="4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vertical="center" wrapText="1"/>
    </xf>
    <xf numFmtId="0" fontId="31" fillId="3" borderId="0" xfId="0" applyFont="1" applyFill="1" applyAlignment="1">
      <alignment horizontal="right" vertical="center" wrapText="1"/>
    </xf>
    <xf numFmtId="3" fontId="31" fillId="3" borderId="0" xfId="0" applyNumberFormat="1" applyFont="1" applyFill="1" applyAlignment="1">
      <alignment horizontal="right" vertical="center" wrapText="1"/>
    </xf>
    <xf numFmtId="3" fontId="30" fillId="4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horizontal="justify" vertical="center" wrapText="1"/>
    </xf>
    <xf numFmtId="165" fontId="31" fillId="3" borderId="0" xfId="0" applyNumberFormat="1" applyFont="1" applyFill="1" applyAlignment="1">
      <alignment horizontal="center" vertical="center" wrapText="1"/>
    </xf>
    <xf numFmtId="3" fontId="30" fillId="4" borderId="0" xfId="0" applyNumberFormat="1" applyFont="1" applyFill="1" applyAlignment="1">
      <alignment horizontal="center" vertical="center" wrapText="1"/>
    </xf>
    <xf numFmtId="166" fontId="31" fillId="3" borderId="0" xfId="0" applyNumberFormat="1" applyFont="1" applyFill="1" applyAlignment="1">
      <alignment horizontal="center" vertical="center" wrapText="1"/>
    </xf>
    <xf numFmtId="3" fontId="31" fillId="3" borderId="0" xfId="0" applyNumberFormat="1" applyFont="1" applyFill="1" applyAlignment="1">
      <alignment horizontal="center" vertical="center" wrapText="1"/>
    </xf>
    <xf numFmtId="49" fontId="32" fillId="0" borderId="0" xfId="0" applyNumberFormat="1" applyFont="1" applyAlignment="1">
      <alignment horizontal="right"/>
    </xf>
    <xf numFmtId="0" fontId="33" fillId="0" borderId="0" xfId="0" applyFont="1"/>
    <xf numFmtId="49" fontId="34" fillId="0" borderId="0" xfId="0" applyNumberFormat="1" applyFont="1" applyAlignment="1">
      <alignment horizontal="right"/>
    </xf>
    <xf numFmtId="0" fontId="7" fillId="0" borderId="1" xfId="0" applyFont="1" applyBorder="1"/>
    <xf numFmtId="49" fontId="28" fillId="0" borderId="1" xfId="0" applyNumberFormat="1" applyFont="1" applyBorder="1" applyAlignment="1">
      <alignment horizontal="center"/>
    </xf>
    <xf numFmtId="0" fontId="36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justify" vertical="center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39" fillId="0" borderId="0" xfId="0" applyFont="1"/>
    <xf numFmtId="0" fontId="25" fillId="0" borderId="1" xfId="0" applyFont="1" applyBorder="1"/>
    <xf numFmtId="0" fontId="40" fillId="0" borderId="1" xfId="0" applyFont="1" applyBorder="1" applyAlignment="1">
      <alignment horizontal="center" vertical="center"/>
    </xf>
    <xf numFmtId="0" fontId="39" fillId="0" borderId="1" xfId="0" applyFont="1" applyBorder="1"/>
    <xf numFmtId="49" fontId="38" fillId="0" borderId="1" xfId="0" applyNumberFormat="1" applyFont="1" applyBorder="1" applyAlignment="1">
      <alignment horizontal="right"/>
    </xf>
    <xf numFmtId="0" fontId="38" fillId="0" borderId="0" xfId="0" applyFont="1" applyAlignment="1">
      <alignment horizontal="center" vertical="center" wrapText="1"/>
    </xf>
    <xf numFmtId="3" fontId="38" fillId="0" borderId="0" xfId="0" applyNumberFormat="1" applyFont="1" applyAlignment="1">
      <alignment horizontal="right" vertical="center" wrapText="1"/>
    </xf>
    <xf numFmtId="1" fontId="38" fillId="0" borderId="0" xfId="0" applyNumberFormat="1" applyFont="1" applyAlignment="1">
      <alignment horizontal="center" vertical="center" wrapText="1"/>
    </xf>
    <xf numFmtId="0" fontId="40" fillId="0" borderId="1" xfId="0" applyFont="1" applyBorder="1" applyAlignment="1">
      <alignment horizontal="justify" vertical="center"/>
    </xf>
    <xf numFmtId="0" fontId="31" fillId="3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/>
    </xf>
    <xf numFmtId="0" fontId="42" fillId="4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vertical="center" wrapText="1"/>
    </xf>
    <xf numFmtId="3" fontId="43" fillId="3" borderId="0" xfId="0" applyNumberFormat="1" applyFont="1" applyFill="1" applyAlignment="1">
      <alignment horizontal="right" vertical="center" wrapText="1"/>
    </xf>
    <xf numFmtId="166" fontId="43" fillId="3" borderId="0" xfId="0" applyNumberFormat="1" applyFont="1" applyFill="1" applyAlignment="1">
      <alignment horizontal="center" vertical="center" wrapText="1"/>
    </xf>
    <xf numFmtId="1" fontId="43" fillId="3" borderId="0" xfId="0" applyNumberFormat="1" applyFont="1" applyFill="1" applyAlignment="1">
      <alignment horizontal="center" vertical="center" wrapText="1"/>
    </xf>
    <xf numFmtId="3" fontId="41" fillId="4" borderId="0" xfId="0" applyNumberFormat="1" applyFont="1" applyFill="1" applyAlignment="1">
      <alignment horizontal="right" vertical="center" wrapText="1"/>
    </xf>
    <xf numFmtId="1" fontId="41" fillId="4" borderId="0" xfId="0" applyNumberFormat="1" applyFont="1" applyFill="1" applyAlignment="1">
      <alignment horizontal="center" vertical="center" wrapText="1"/>
    </xf>
    <xf numFmtId="3" fontId="43" fillId="3" borderId="0" xfId="0" applyNumberFormat="1" applyFont="1" applyFill="1" applyAlignment="1">
      <alignment horizontal="center" vertical="center" wrapText="1"/>
    </xf>
    <xf numFmtId="0" fontId="31" fillId="3" borderId="0" xfId="0" applyFont="1" applyFill="1"/>
    <xf numFmtId="3" fontId="43" fillId="3" borderId="0" xfId="0" applyNumberFormat="1" applyFont="1" applyFill="1" applyAlignment="1">
      <alignment vertical="center" wrapText="1"/>
    </xf>
    <xf numFmtId="0" fontId="43" fillId="3" borderId="0" xfId="0" applyFont="1" applyFill="1" applyAlignment="1">
      <alignment horizontal="right" vertical="center" wrapText="1"/>
    </xf>
    <xf numFmtId="0" fontId="31" fillId="3" borderId="0" xfId="0" applyFont="1" applyFill="1" applyAlignment="1">
      <alignment horizontal="center"/>
    </xf>
    <xf numFmtId="0" fontId="43" fillId="3" borderId="0" xfId="0" applyFont="1" applyFill="1" applyAlignment="1">
      <alignment horizontal="left" vertical="center" wrapText="1"/>
    </xf>
    <xf numFmtId="165" fontId="43" fillId="3" borderId="0" xfId="0" applyNumberFormat="1" applyFont="1" applyFill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justify" vertical="center" wrapText="1"/>
    </xf>
    <xf numFmtId="0" fontId="29" fillId="4" borderId="0" xfId="0" applyFont="1" applyFill="1" applyAlignment="1">
      <alignment horizontal="center" vertical="center"/>
    </xf>
    <xf numFmtId="3" fontId="43" fillId="3" borderId="0" xfId="0" applyNumberFormat="1" applyFont="1" applyFill="1" applyAlignment="1">
      <alignment horizontal="right" vertical="center"/>
    </xf>
    <xf numFmtId="3" fontId="41" fillId="4" borderId="0" xfId="0" applyNumberFormat="1" applyFont="1" applyFill="1" applyAlignment="1">
      <alignment horizontal="right" vertical="center"/>
    </xf>
    <xf numFmtId="3" fontId="41" fillId="4" borderId="0" xfId="0" applyNumberFormat="1" applyFont="1" applyFill="1" applyAlignment="1">
      <alignment horizontal="center" vertical="center" wrapText="1"/>
    </xf>
    <xf numFmtId="0" fontId="26" fillId="4" borderId="0" xfId="0" applyFont="1" applyFill="1"/>
    <xf numFmtId="49" fontId="43" fillId="3" borderId="0" xfId="1" applyNumberFormat="1" applyFont="1" applyFill="1" applyBorder="1" applyAlignment="1">
      <alignment horizontal="justify" vertical="center" wrapText="1"/>
    </xf>
    <xf numFmtId="0" fontId="26" fillId="0" borderId="0" xfId="0" applyFont="1"/>
    <xf numFmtId="0" fontId="43" fillId="0" borderId="0" xfId="0" applyFont="1"/>
    <xf numFmtId="16" fontId="41" fillId="4" borderId="0" xfId="0" applyNumberFormat="1" applyFont="1" applyFill="1" applyAlignment="1">
      <alignment horizontal="center" vertical="center" wrapText="1"/>
    </xf>
    <xf numFmtId="49" fontId="34" fillId="0" borderId="1" xfId="0" applyNumberFormat="1" applyFont="1" applyBorder="1"/>
    <xf numFmtId="0" fontId="8" fillId="0" borderId="1" xfId="0" applyFont="1" applyBorder="1"/>
    <xf numFmtId="0" fontId="39" fillId="0" borderId="1" xfId="0" applyFont="1" applyBorder="1" applyAlignment="1">
      <alignment horizontal="center" vertical="center"/>
    </xf>
    <xf numFmtId="0" fontId="41" fillId="4" borderId="0" xfId="0" applyFont="1" applyFill="1" applyAlignment="1">
      <alignment vertical="center" wrapText="1"/>
    </xf>
    <xf numFmtId="49" fontId="41" fillId="4" borderId="0" xfId="0" applyNumberFormat="1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/>
    </xf>
    <xf numFmtId="0" fontId="41" fillId="3" borderId="0" xfId="0" applyFont="1" applyFill="1" applyAlignment="1">
      <alignment horizontal="center" vertical="center" wrapText="1"/>
    </xf>
    <xf numFmtId="0" fontId="41" fillId="3" borderId="0" xfId="0" applyFont="1" applyFill="1" applyAlignment="1">
      <alignment horizontal="left" vertical="center" wrapText="1"/>
    </xf>
    <xf numFmtId="1" fontId="41" fillId="3" borderId="0" xfId="0" applyNumberFormat="1" applyFont="1" applyFill="1" applyAlignment="1">
      <alignment horizontal="center" vertical="center" wrapText="1"/>
    </xf>
    <xf numFmtId="0" fontId="41" fillId="3" borderId="0" xfId="0" applyFont="1" applyFill="1" applyAlignment="1">
      <alignment vertical="center" wrapText="1"/>
    </xf>
    <xf numFmtId="0" fontId="36" fillId="0" borderId="1" xfId="0" applyFont="1" applyBorder="1"/>
    <xf numFmtId="49" fontId="38" fillId="0" borderId="1" xfId="0" applyNumberFormat="1" applyFont="1" applyBorder="1"/>
    <xf numFmtId="0" fontId="42" fillId="4" borderId="0" xfId="0" applyFont="1" applyFill="1" applyAlignment="1">
      <alignment horizontal="center" vertical="center"/>
    </xf>
    <xf numFmtId="0" fontId="41" fillId="4" borderId="0" xfId="0" applyFont="1" applyFill="1" applyAlignment="1">
      <alignment vertical="center"/>
    </xf>
    <xf numFmtId="3" fontId="41" fillId="4" borderId="0" xfId="0" applyNumberFormat="1" applyFont="1" applyFill="1" applyAlignment="1">
      <alignment vertical="center"/>
    </xf>
    <xf numFmtId="3" fontId="41" fillId="4" borderId="0" xfId="0" applyNumberFormat="1" applyFont="1" applyFill="1" applyAlignment="1">
      <alignment vertical="center" wrapText="1"/>
    </xf>
    <xf numFmtId="0" fontId="41" fillId="3" borderId="0" xfId="0" applyFont="1" applyFill="1" applyAlignment="1">
      <alignment vertical="center"/>
    </xf>
    <xf numFmtId="3" fontId="41" fillId="3" borderId="0" xfId="0" applyNumberFormat="1" applyFont="1" applyFill="1" applyAlignment="1">
      <alignment horizontal="right" vertical="center" wrapText="1"/>
    </xf>
    <xf numFmtId="3" fontId="41" fillId="3" borderId="0" xfId="0" applyNumberFormat="1" applyFont="1" applyFill="1" applyAlignment="1">
      <alignment vertical="center" wrapText="1"/>
    </xf>
    <xf numFmtId="0" fontId="43" fillId="3" borderId="0" xfId="0" applyFont="1" applyFill="1" applyAlignment="1">
      <alignment vertical="center"/>
    </xf>
    <xf numFmtId="3" fontId="43" fillId="3" borderId="0" xfId="0" applyNumberFormat="1" applyFont="1" applyFill="1" applyAlignment="1">
      <alignment vertical="center"/>
    </xf>
    <xf numFmtId="3" fontId="43" fillId="3" borderId="0" xfId="0" applyNumberFormat="1" applyFont="1" applyFill="1" applyAlignment="1">
      <alignment wrapText="1"/>
    </xf>
    <xf numFmtId="0" fontId="33" fillId="2" borderId="0" xfId="0" applyFont="1" applyFill="1"/>
    <xf numFmtId="0" fontId="25" fillId="2" borderId="1" xfId="0" applyFont="1" applyFill="1" applyBorder="1"/>
    <xf numFmtId="0" fontId="39" fillId="2" borderId="1" xfId="0" applyFont="1" applyFill="1" applyBorder="1"/>
    <xf numFmtId="49" fontId="38" fillId="2" borderId="1" xfId="0" applyNumberFormat="1" applyFont="1" applyFill="1" applyBorder="1" applyAlignment="1">
      <alignment horizontal="center"/>
    </xf>
    <xf numFmtId="0" fontId="35" fillId="3" borderId="0" xfId="0" applyFont="1" applyFill="1" applyAlignment="1">
      <alignment vertical="center"/>
    </xf>
    <xf numFmtId="0" fontId="30" fillId="3" borderId="0" xfId="0" applyFont="1" applyFill="1" applyAlignment="1">
      <alignment horizontal="center" vertical="center" wrapText="1"/>
    </xf>
    <xf numFmtId="3" fontId="31" fillId="3" borderId="0" xfId="0" applyNumberFormat="1" applyFont="1" applyFill="1"/>
    <xf numFmtId="0" fontId="28" fillId="3" borderId="0" xfId="0" applyFont="1" applyFill="1" applyAlignment="1">
      <alignment vertical="center"/>
    </xf>
    <xf numFmtId="49" fontId="28" fillId="0" borderId="1" xfId="0" applyNumberFormat="1" applyFont="1" applyBorder="1" applyAlignment="1">
      <alignment horizontal="right"/>
    </xf>
    <xf numFmtId="0" fontId="47" fillId="0" borderId="1" xfId="0" applyFont="1" applyBorder="1"/>
    <xf numFmtId="49" fontId="37" fillId="0" borderId="1" xfId="0" applyNumberFormat="1" applyFont="1" applyBorder="1" applyAlignment="1">
      <alignment horizontal="right" vertical="center"/>
    </xf>
    <xf numFmtId="0" fontId="43" fillId="3" borderId="0" xfId="0" applyFont="1" applyFill="1" applyAlignment="1">
      <alignment horizontal="justify" vertical="center"/>
    </xf>
    <xf numFmtId="0" fontId="41" fillId="4" borderId="0" xfId="0" applyFont="1" applyFill="1" applyAlignment="1">
      <alignment horizontal="center" vertical="top" wrapText="1"/>
    </xf>
    <xf numFmtId="0" fontId="30" fillId="4" borderId="0" xfId="0" applyFont="1" applyFill="1" applyAlignment="1">
      <alignment horizontal="center" vertical="top"/>
    </xf>
    <xf numFmtId="0" fontId="42" fillId="4" borderId="0" xfId="0" applyFont="1" applyFill="1" applyAlignment="1">
      <alignment horizontal="center" vertical="top" wrapText="1"/>
    </xf>
    <xf numFmtId="1" fontId="42" fillId="4" borderId="0" xfId="0" applyNumberFormat="1" applyFont="1" applyFill="1" applyAlignment="1">
      <alignment horizontal="center" vertical="top" wrapText="1"/>
    </xf>
    <xf numFmtId="164" fontId="41" fillId="4" borderId="0" xfId="0" applyNumberFormat="1" applyFont="1" applyFill="1" applyAlignment="1">
      <alignment horizontal="right" vertical="center" wrapText="1"/>
    </xf>
    <xf numFmtId="166" fontId="41" fillId="4" borderId="0" xfId="0" applyNumberFormat="1" applyFont="1" applyFill="1" applyAlignment="1">
      <alignment horizontal="center" vertical="center" wrapText="1"/>
    </xf>
    <xf numFmtId="49" fontId="48" fillId="0" borderId="1" xfId="0" applyNumberFormat="1" applyFont="1" applyBorder="1" applyAlignment="1">
      <alignment horizontal="right" vertical="center"/>
    </xf>
    <xf numFmtId="0" fontId="49" fillId="0" borderId="1" xfId="0" applyFont="1" applyBorder="1"/>
    <xf numFmtId="0" fontId="42" fillId="4" borderId="0" xfId="0" applyFont="1" applyFill="1" applyAlignment="1">
      <alignment horizontal="center" wrapText="1"/>
    </xf>
    <xf numFmtId="0" fontId="9" fillId="0" borderId="1" xfId="0" applyFont="1" applyBorder="1" applyAlignment="1">
      <alignment horizontal="justify" vertical="center"/>
    </xf>
    <xf numFmtId="3" fontId="30" fillId="4" borderId="0" xfId="0" applyNumberFormat="1" applyFont="1" applyFill="1" applyAlignment="1">
      <alignment vertical="center"/>
    </xf>
    <xf numFmtId="166" fontId="30" fillId="4" borderId="0" xfId="0" applyNumberFormat="1" applyFont="1" applyFill="1" applyAlignment="1">
      <alignment horizontal="center"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0" fontId="27" fillId="3" borderId="0" xfId="0" applyFont="1" applyFill="1" applyAlignment="1">
      <alignment vertical="center" wrapText="1"/>
    </xf>
    <xf numFmtId="0" fontId="31" fillId="3" borderId="0" xfId="0" applyFont="1" applyFill="1" applyAlignment="1">
      <alignment wrapText="1"/>
    </xf>
    <xf numFmtId="166" fontId="43" fillId="3" borderId="0" xfId="0" applyNumberFormat="1" applyFont="1" applyFill="1" applyAlignment="1">
      <alignment horizontal="center" wrapText="1"/>
    </xf>
    <xf numFmtId="0" fontId="41" fillId="4" borderId="0" xfId="0" applyFont="1" applyFill="1" applyAlignment="1">
      <alignment horizontal="center" wrapText="1"/>
    </xf>
    <xf numFmtId="0" fontId="3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/>
    <xf numFmtId="0" fontId="41" fillId="3" borderId="0" xfId="0" applyFont="1" applyFill="1" applyAlignment="1">
      <alignment horizontal="right" vertical="center" wrapText="1"/>
    </xf>
    <xf numFmtId="3" fontId="30" fillId="3" borderId="0" xfId="0" applyNumberFormat="1" applyFont="1" applyFill="1" applyAlignment="1">
      <alignment horizontal="right" vertical="center" wrapText="1"/>
    </xf>
    <xf numFmtId="0" fontId="30" fillId="4" borderId="0" xfId="0" applyFont="1" applyFill="1" applyAlignment="1">
      <alignment horizontal="center" vertical="center"/>
    </xf>
    <xf numFmtId="0" fontId="41" fillId="4" borderId="0" xfId="0" applyFont="1" applyFill="1" applyAlignment="1">
      <alignment horizontal="left" vertical="center" wrapText="1"/>
    </xf>
    <xf numFmtId="3" fontId="30" fillId="4" borderId="0" xfId="0" applyNumberFormat="1" applyFont="1" applyFill="1" applyAlignment="1">
      <alignment vertical="center" wrapText="1"/>
    </xf>
    <xf numFmtId="3" fontId="30" fillId="3" borderId="0" xfId="0" applyNumberFormat="1" applyFont="1" applyFill="1" applyAlignment="1">
      <alignment vertical="center" wrapText="1"/>
    </xf>
    <xf numFmtId="49" fontId="32" fillId="0" borderId="1" xfId="0" applyNumberFormat="1" applyFont="1" applyBorder="1" applyAlignment="1">
      <alignment horizontal="right"/>
    </xf>
    <xf numFmtId="0" fontId="33" fillId="0" borderId="0" xfId="0" applyFont="1" applyAlignment="1">
      <alignment horizontal="justify" vertical="center"/>
    </xf>
    <xf numFmtId="3" fontId="31" fillId="3" borderId="0" xfId="0" applyNumberFormat="1" applyFont="1" applyFill="1" applyAlignment="1">
      <alignment vertical="center" wrapText="1"/>
    </xf>
    <xf numFmtId="49" fontId="37" fillId="0" borderId="1" xfId="0" applyNumberFormat="1" applyFont="1" applyBorder="1" applyAlignment="1">
      <alignment horizontal="right"/>
    </xf>
    <xf numFmtId="0" fontId="50" fillId="0" borderId="0" xfId="0" applyFont="1"/>
    <xf numFmtId="164" fontId="43" fillId="3" borderId="0" xfId="0" applyNumberFormat="1" applyFont="1" applyFill="1" applyAlignment="1">
      <alignment horizontal="center" vertical="center" wrapText="1"/>
    </xf>
    <xf numFmtId="164" fontId="41" fillId="4" borderId="0" xfId="0" applyNumberFormat="1" applyFont="1" applyFill="1" applyAlignment="1">
      <alignment horizontal="center" vertical="center" wrapText="1"/>
    </xf>
    <xf numFmtId="49" fontId="38" fillId="0" borderId="1" xfId="0" applyNumberFormat="1" applyFont="1" applyBorder="1" applyAlignment="1">
      <alignment horizontal="left"/>
    </xf>
    <xf numFmtId="0" fontId="30" fillId="4" borderId="0" xfId="0" applyFont="1" applyFill="1" applyAlignment="1">
      <alignment horizontal="left" vertical="top" wrapText="1"/>
    </xf>
    <xf numFmtId="164" fontId="30" fillId="4" borderId="0" xfId="0" applyNumberFormat="1" applyFont="1" applyFill="1" applyAlignment="1">
      <alignment horizontal="right" vertical="center" wrapText="1"/>
    </xf>
    <xf numFmtId="1" fontId="31" fillId="3" borderId="0" xfId="0" applyNumberFormat="1" applyFont="1" applyFill="1" applyAlignment="1">
      <alignment horizontal="center" vertical="center" wrapText="1"/>
    </xf>
    <xf numFmtId="1" fontId="30" fillId="4" borderId="0" xfId="0" applyNumberFormat="1" applyFont="1" applyFill="1" applyAlignment="1">
      <alignment horizontal="center" vertical="center" wrapText="1"/>
    </xf>
    <xf numFmtId="10" fontId="30" fillId="4" borderId="0" xfId="0" applyNumberFormat="1" applyFont="1" applyFill="1" applyAlignment="1">
      <alignment horizontal="center" vertical="center" wrapText="1"/>
    </xf>
    <xf numFmtId="166" fontId="31" fillId="3" borderId="0" xfId="0" applyNumberFormat="1" applyFont="1" applyFill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16" fontId="31" fillId="3" borderId="0" xfId="0" applyNumberFormat="1" applyFont="1" applyFill="1" applyAlignment="1">
      <alignment horizontal="center" vertical="center" wrapText="1"/>
    </xf>
    <xf numFmtId="1" fontId="30" fillId="4" borderId="0" xfId="0" applyNumberFormat="1" applyFont="1" applyFill="1" applyAlignment="1">
      <alignment horizontal="center" vertical="center"/>
    </xf>
    <xf numFmtId="4" fontId="30" fillId="3" borderId="0" xfId="0" applyNumberFormat="1" applyFont="1" applyFill="1" applyAlignment="1">
      <alignment horizontal="center" vertical="center" wrapText="1"/>
    </xf>
    <xf numFmtId="10" fontId="31" fillId="3" borderId="0" xfId="0" applyNumberFormat="1" applyFont="1" applyFill="1" applyAlignment="1">
      <alignment horizontal="center" vertical="center" wrapText="1"/>
    </xf>
    <xf numFmtId="10" fontId="36" fillId="0" borderId="1" xfId="0" applyNumberFormat="1" applyFont="1" applyBorder="1"/>
    <xf numFmtId="166" fontId="43" fillId="3" borderId="0" xfId="0" applyNumberFormat="1" applyFont="1" applyFill="1" applyAlignment="1">
      <alignment horizontal="center" vertical="center"/>
    </xf>
    <xf numFmtId="3" fontId="31" fillId="3" borderId="0" xfId="0" applyNumberFormat="1" applyFont="1" applyFill="1" applyAlignment="1">
      <alignment horizontal="right" vertical="center"/>
    </xf>
    <xf numFmtId="1" fontId="43" fillId="3" borderId="0" xfId="0" applyNumberFormat="1" applyFont="1" applyFill="1" applyAlignment="1">
      <alignment horizontal="center" vertical="center"/>
    </xf>
    <xf numFmtId="0" fontId="31" fillId="3" borderId="0" xfId="0" applyFont="1" applyFill="1" applyAlignment="1">
      <alignment horizontal="right" vertical="center"/>
    </xf>
    <xf numFmtId="1" fontId="41" fillId="4" borderId="0" xfId="0" applyNumberFormat="1" applyFont="1" applyFill="1" applyAlignment="1">
      <alignment horizontal="center" vertical="center"/>
    </xf>
    <xf numFmtId="0" fontId="31" fillId="3" borderId="0" xfId="0" applyFont="1" applyFill="1" applyAlignment="1">
      <alignment vertical="center"/>
    </xf>
    <xf numFmtId="3" fontId="31" fillId="3" borderId="0" xfId="0" applyNumberFormat="1" applyFont="1" applyFill="1" applyAlignment="1">
      <alignment vertical="center"/>
    </xf>
    <xf numFmtId="165" fontId="31" fillId="3" borderId="0" xfId="0" applyNumberFormat="1" applyFont="1" applyFill="1" applyAlignment="1">
      <alignment horizontal="center" vertical="center"/>
    </xf>
    <xf numFmtId="1" fontId="31" fillId="3" borderId="0" xfId="0" applyNumberFormat="1" applyFont="1" applyFill="1" applyAlignment="1">
      <alignment horizontal="center" vertical="center"/>
    </xf>
    <xf numFmtId="3" fontId="30" fillId="4" borderId="0" xfId="0" applyNumberFormat="1" applyFont="1" applyFill="1" applyAlignment="1">
      <alignment horizontal="center" vertical="center"/>
    </xf>
    <xf numFmtId="3" fontId="30" fillId="4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28" fillId="0" borderId="1" xfId="0" applyNumberFormat="1" applyFont="1" applyBorder="1" applyAlignment="1">
      <alignment horizontal="right" vertical="center"/>
    </xf>
    <xf numFmtId="0" fontId="31" fillId="3" borderId="0" xfId="0" applyFont="1" applyFill="1" applyAlignment="1">
      <alignment horizontal="right"/>
    </xf>
    <xf numFmtId="0" fontId="30" fillId="3" borderId="0" xfId="0" applyFont="1" applyFill="1" applyAlignment="1">
      <alignment horizontal="right" vertical="center"/>
    </xf>
    <xf numFmtId="0" fontId="30" fillId="3" borderId="0" xfId="0" applyFont="1" applyFill="1" applyAlignment="1">
      <alignment horizontal="center" vertical="center"/>
    </xf>
    <xf numFmtId="2" fontId="30" fillId="3" borderId="0" xfId="0" applyNumberFormat="1" applyFont="1" applyFill="1" applyAlignment="1">
      <alignment horizontal="center" vertical="center"/>
    </xf>
    <xf numFmtId="9" fontId="31" fillId="3" borderId="0" xfId="0" applyNumberFormat="1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right" vertical="center"/>
    </xf>
    <xf numFmtId="1" fontId="30" fillId="4" borderId="0" xfId="0" applyNumberFormat="1" applyFont="1" applyFill="1" applyAlignment="1">
      <alignment horizontal="right" vertical="center"/>
    </xf>
    <xf numFmtId="0" fontId="22" fillId="0" borderId="1" xfId="0" applyFont="1" applyBorder="1" applyAlignment="1">
      <alignment horizontal="justify" vertical="center"/>
    </xf>
    <xf numFmtId="0" fontId="30" fillId="3" borderId="0" xfId="0" applyFont="1" applyFill="1" applyAlignment="1">
      <alignment vertical="center"/>
    </xf>
    <xf numFmtId="3" fontId="31" fillId="3" borderId="0" xfId="0" applyNumberFormat="1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vertical="center"/>
    </xf>
    <xf numFmtId="166" fontId="30" fillId="4" borderId="0" xfId="0" applyNumberFormat="1" applyFont="1" applyFill="1" applyAlignment="1">
      <alignment horizontal="center" vertical="center" wrapText="1"/>
    </xf>
    <xf numFmtId="0" fontId="28" fillId="0" borderId="1" xfId="0" applyFont="1" applyBorder="1"/>
    <xf numFmtId="166" fontId="30" fillId="3" borderId="0" xfId="0" applyNumberFormat="1" applyFont="1" applyFill="1" applyAlignment="1">
      <alignment horizontal="center" vertical="center" wrapText="1"/>
    </xf>
    <xf numFmtId="3" fontId="30" fillId="3" borderId="0" xfId="0" applyNumberFormat="1" applyFont="1" applyFill="1" applyAlignment="1">
      <alignment horizontal="center" vertical="center"/>
    </xf>
    <xf numFmtId="3" fontId="30" fillId="3" borderId="0" xfId="0" applyNumberFormat="1" applyFont="1" applyFill="1" applyAlignment="1">
      <alignment horizontal="right" vertical="center"/>
    </xf>
    <xf numFmtId="1" fontId="30" fillId="3" borderId="0" xfId="0" applyNumberFormat="1" applyFont="1" applyFill="1" applyAlignment="1">
      <alignment horizontal="center" vertical="center"/>
    </xf>
    <xf numFmtId="3" fontId="30" fillId="3" borderId="0" xfId="0" applyNumberFormat="1" applyFont="1" applyFill="1" applyAlignment="1">
      <alignment horizontal="center" vertical="center" wrapText="1"/>
    </xf>
    <xf numFmtId="0" fontId="46" fillId="3" borderId="0" xfId="0" applyFont="1" applyFill="1" applyAlignment="1">
      <alignment vertical="center"/>
    </xf>
    <xf numFmtId="0" fontId="44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 wrapText="1"/>
    </xf>
    <xf numFmtId="3" fontId="46" fillId="3" borderId="0" xfId="0" applyNumberFormat="1" applyFont="1" applyFill="1" applyAlignment="1">
      <alignment horizontal="right" vertical="center"/>
    </xf>
    <xf numFmtId="166" fontId="46" fillId="3" borderId="0" xfId="0" applyNumberFormat="1" applyFont="1" applyFill="1" applyAlignment="1">
      <alignment horizontal="center" vertical="center"/>
    </xf>
    <xf numFmtId="1" fontId="46" fillId="3" borderId="0" xfId="0" applyNumberFormat="1" applyFont="1" applyFill="1" applyAlignment="1">
      <alignment horizontal="center" vertical="center"/>
    </xf>
    <xf numFmtId="3" fontId="44" fillId="4" borderId="0" xfId="0" applyNumberFormat="1" applyFont="1" applyFill="1" applyAlignment="1">
      <alignment horizontal="right" vertical="center"/>
    </xf>
    <xf numFmtId="1" fontId="44" fillId="4" borderId="0" xfId="0" applyNumberFormat="1" applyFont="1" applyFill="1" applyAlignment="1">
      <alignment horizontal="center" vertical="center"/>
    </xf>
    <xf numFmtId="9" fontId="46" fillId="3" borderId="0" xfId="0" applyNumberFormat="1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49" fontId="5" fillId="0" borderId="1" xfId="0" applyNumberFormat="1" applyFont="1" applyBorder="1" applyAlignment="1">
      <alignment horizontal="right"/>
    </xf>
    <xf numFmtId="0" fontId="44" fillId="3" borderId="0" xfId="0" applyFont="1" applyFill="1" applyAlignment="1">
      <alignment vertical="center"/>
    </xf>
    <xf numFmtId="0" fontId="46" fillId="3" borderId="0" xfId="0" applyFont="1" applyFill="1" applyAlignment="1">
      <alignment horizontal="right" vertical="center"/>
    </xf>
    <xf numFmtId="0" fontId="44" fillId="3" borderId="0" xfId="0" applyFont="1" applyFill="1" applyAlignment="1">
      <alignment horizontal="center" vertical="center" wrapText="1"/>
    </xf>
    <xf numFmtId="1" fontId="46" fillId="3" borderId="0" xfId="0" applyNumberFormat="1" applyFont="1" applyFill="1" applyAlignment="1">
      <alignment vertical="center"/>
    </xf>
    <xf numFmtId="49" fontId="46" fillId="3" borderId="0" xfId="0" applyNumberFormat="1" applyFont="1" applyFill="1" applyAlignment="1">
      <alignment horizontal="center" vertical="center" wrapText="1"/>
    </xf>
    <xf numFmtId="166" fontId="44" fillId="4" borderId="0" xfId="0" applyNumberFormat="1" applyFont="1" applyFill="1" applyAlignment="1">
      <alignment horizontal="center" vertical="center"/>
    </xf>
    <xf numFmtId="0" fontId="44" fillId="3" borderId="0" xfId="0" applyFont="1" applyFill="1" applyAlignment="1">
      <alignment horizontal="right" vertical="center"/>
    </xf>
    <xf numFmtId="166" fontId="44" fillId="3" borderId="0" xfId="0" applyNumberFormat="1" applyFont="1" applyFill="1" applyAlignment="1">
      <alignment horizontal="center" vertical="center"/>
    </xf>
    <xf numFmtId="166" fontId="30" fillId="3" borderId="0" xfId="0" applyNumberFormat="1" applyFont="1" applyFill="1" applyAlignment="1">
      <alignment horizontal="center" vertical="center"/>
    </xf>
    <xf numFmtId="0" fontId="44" fillId="4" borderId="0" xfId="0" applyFont="1" applyFill="1" applyAlignment="1">
      <alignment vertical="center" wrapText="1"/>
    </xf>
    <xf numFmtId="0" fontId="44" fillId="4" borderId="0" xfId="0" applyFont="1" applyFill="1" applyAlignment="1">
      <alignment vertical="center"/>
    </xf>
    <xf numFmtId="165" fontId="31" fillId="3" borderId="0" xfId="0" applyNumberFormat="1" applyFont="1" applyFill="1" applyAlignment="1">
      <alignment horizontal="right" vertical="center" wrapText="1"/>
    </xf>
    <xf numFmtId="0" fontId="31" fillId="4" borderId="0" xfId="0" applyFont="1" applyFill="1" applyAlignment="1">
      <alignment horizontal="justify" vertical="center" wrapText="1"/>
    </xf>
    <xf numFmtId="0" fontId="28" fillId="0" borderId="1" xfId="0" applyFont="1" applyBorder="1" applyAlignment="1">
      <alignment horizontal="right"/>
    </xf>
    <xf numFmtId="0" fontId="41" fillId="4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 wrapText="1"/>
    </xf>
    <xf numFmtId="164" fontId="30" fillId="3" borderId="0" xfId="0" applyNumberFormat="1" applyFont="1" applyFill="1" applyAlignment="1">
      <alignment horizontal="right" vertical="center" wrapText="1"/>
    </xf>
    <xf numFmtId="0" fontId="30" fillId="4" borderId="0" xfId="0" applyFont="1" applyFill="1" applyAlignment="1">
      <alignment horizontal="justify" vertical="center" wrapText="1"/>
    </xf>
    <xf numFmtId="0" fontId="30" fillId="4" borderId="0" xfId="0" applyFont="1" applyFill="1" applyAlignment="1">
      <alignment horizontal="right" vertical="center" wrapText="1"/>
    </xf>
    <xf numFmtId="164" fontId="46" fillId="3" borderId="0" xfId="0" applyNumberFormat="1" applyFont="1" applyFill="1" applyAlignment="1">
      <alignment horizontal="center" vertical="center"/>
    </xf>
    <xf numFmtId="0" fontId="0" fillId="0" borderId="4" xfId="0" applyBorder="1"/>
    <xf numFmtId="0" fontId="52" fillId="0" borderId="0" xfId="0" applyFont="1" applyAlignment="1">
      <alignment horizontal="justify" vertical="center"/>
    </xf>
    <xf numFmtId="0" fontId="51" fillId="0" borderId="0" xfId="0" applyFont="1" applyAlignment="1">
      <alignment horizontal="justify" vertical="center"/>
    </xf>
    <xf numFmtId="0" fontId="13" fillId="0" borderId="0" xfId="1"/>
    <xf numFmtId="0" fontId="13" fillId="0" borderId="0" xfId="1" applyFill="1"/>
    <xf numFmtId="0" fontId="13" fillId="0" borderId="0" xfId="1" applyFill="1" applyAlignment="1">
      <alignment wrapText="1"/>
    </xf>
    <xf numFmtId="167" fontId="0" fillId="0" borderId="0" xfId="0" applyNumberFormat="1"/>
    <xf numFmtId="166" fontId="31" fillId="3" borderId="0" xfId="0" applyNumberFormat="1" applyFont="1" applyFill="1" applyAlignment="1">
      <alignment horizontal="right" vertical="center" wrapText="1"/>
    </xf>
    <xf numFmtId="166" fontId="31" fillId="3" borderId="0" xfId="0" applyNumberFormat="1" applyFont="1" applyFill="1" applyAlignment="1">
      <alignment horizontal="right" vertical="center"/>
    </xf>
    <xf numFmtId="9" fontId="30" fillId="4" borderId="0" xfId="0" applyNumberFormat="1" applyFont="1" applyFill="1" applyAlignment="1">
      <alignment horizontal="center" vertical="center" wrapText="1"/>
    </xf>
    <xf numFmtId="0" fontId="54" fillId="4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55" fillId="3" borderId="0" xfId="0" applyFont="1" applyFill="1" applyAlignment="1">
      <alignment horizontal="center" vertical="center" wrapText="1"/>
    </xf>
    <xf numFmtId="49" fontId="31" fillId="3" borderId="0" xfId="0" applyNumberFormat="1" applyFont="1" applyFill="1" applyAlignment="1">
      <alignment horizontal="center" vertical="center" wrapText="1"/>
    </xf>
    <xf numFmtId="164" fontId="30" fillId="3" borderId="0" xfId="0" applyNumberFormat="1" applyFont="1" applyFill="1" applyAlignment="1">
      <alignment horizontal="right" vertical="center"/>
    </xf>
    <xf numFmtId="9" fontId="41" fillId="4" borderId="0" xfId="0" applyNumberFormat="1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/>
    </xf>
    <xf numFmtId="0" fontId="43" fillId="4" borderId="0" xfId="0" applyFont="1" applyFill="1" applyAlignment="1">
      <alignment vertical="center" wrapText="1"/>
    </xf>
    <xf numFmtId="164" fontId="43" fillId="4" borderId="0" xfId="0" applyNumberFormat="1" applyFont="1" applyFill="1" applyAlignment="1">
      <alignment horizontal="center" vertical="center" wrapText="1"/>
    </xf>
    <xf numFmtId="0" fontId="56" fillId="4" borderId="0" xfId="0" applyFont="1" applyFill="1" applyAlignment="1">
      <alignment horizontal="center" vertical="center" wrapText="1"/>
    </xf>
    <xf numFmtId="0" fontId="57" fillId="0" borderId="0" xfId="0" applyFont="1"/>
    <xf numFmtId="10" fontId="43" fillId="3" borderId="0" xfId="0" applyNumberFormat="1" applyFont="1" applyFill="1" applyAlignment="1">
      <alignment horizontal="center" wrapText="1"/>
    </xf>
    <xf numFmtId="0" fontId="43" fillId="3" borderId="0" xfId="0" applyFont="1" applyFill="1" applyAlignment="1">
      <alignment horizontal="center" wrapText="1"/>
    </xf>
    <xf numFmtId="0" fontId="43" fillId="4" borderId="0" xfId="0" applyFont="1" applyFill="1" applyAlignment="1">
      <alignment horizontal="center" vertical="center" wrapText="1"/>
    </xf>
    <xf numFmtId="164" fontId="43" fillId="3" borderId="0" xfId="0" applyNumberFormat="1" applyFont="1" applyFill="1" applyAlignment="1">
      <alignment horizontal="center" wrapText="1"/>
    </xf>
    <xf numFmtId="3" fontId="58" fillId="0" borderId="0" xfId="0" applyNumberFormat="1" applyFont="1" applyAlignment="1">
      <alignment horizontal="right"/>
    </xf>
    <xf numFmtId="10" fontId="58" fillId="0" borderId="0" xfId="0" applyNumberFormat="1" applyFont="1" applyAlignment="1">
      <alignment horizontal="right"/>
    </xf>
    <xf numFmtId="3" fontId="59" fillId="0" borderId="0" xfId="0" applyNumberFormat="1" applyFont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3" fontId="29" fillId="0" borderId="0" xfId="0" applyNumberFormat="1" applyFont="1"/>
    <xf numFmtId="1" fontId="31" fillId="3" borderId="0" xfId="0" applyNumberFormat="1" applyFont="1" applyFill="1" applyAlignment="1">
      <alignment horizontal="right" vertical="center"/>
    </xf>
    <xf numFmtId="0" fontId="41" fillId="4" borderId="0" xfId="0" applyFont="1" applyFill="1" applyAlignment="1">
      <alignment horizontal="left" wrapText="1"/>
    </xf>
    <xf numFmtId="9" fontId="43" fillId="3" borderId="0" xfId="0" applyNumberFormat="1" applyFont="1" applyFill="1" applyAlignment="1">
      <alignment horizontal="center" vertical="center" wrapText="1"/>
    </xf>
    <xf numFmtId="49" fontId="43" fillId="3" borderId="0" xfId="0" applyNumberFormat="1" applyFont="1" applyFill="1" applyAlignment="1">
      <alignment horizontal="center" vertical="center" wrapText="1"/>
    </xf>
    <xf numFmtId="165" fontId="59" fillId="0" borderId="0" xfId="0" applyNumberFormat="1" applyFont="1" applyAlignment="1">
      <alignment horizontal="right" vertical="center" wrapText="1"/>
    </xf>
    <xf numFmtId="166" fontId="43" fillId="3" borderId="0" xfId="0" applyNumberFormat="1" applyFont="1" applyFill="1" applyAlignment="1">
      <alignment horizontal="right" vertical="center" wrapText="1"/>
    </xf>
    <xf numFmtId="2" fontId="43" fillId="3" borderId="0" xfId="0" applyNumberFormat="1" applyFont="1" applyFill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3" fontId="61" fillId="0" borderId="0" xfId="0" applyNumberFormat="1" applyFont="1" applyAlignment="1">
      <alignment horizontal="center" vertical="center" wrapText="1"/>
    </xf>
    <xf numFmtId="0" fontId="41" fillId="3" borderId="0" xfId="0" applyFont="1" applyFill="1" applyAlignment="1">
      <alignment horizontal="left" vertical="center"/>
    </xf>
    <xf numFmtId="0" fontId="62" fillId="0" borderId="0" xfId="0" applyFont="1"/>
    <xf numFmtId="0" fontId="30" fillId="3" borderId="0" xfId="0" applyFont="1" applyFill="1" applyAlignment="1">
      <alignment horizontal="right" vertical="center" wrapText="1"/>
    </xf>
    <xf numFmtId="0" fontId="31" fillId="3" borderId="0" xfId="0" applyFont="1" applyFill="1" applyAlignment="1">
      <alignment horizontal="left"/>
    </xf>
    <xf numFmtId="166" fontId="31" fillId="3" borderId="0" xfId="0" applyNumberFormat="1" applyFont="1" applyFill="1" applyAlignment="1">
      <alignment horizontal="center"/>
    </xf>
    <xf numFmtId="166" fontId="31" fillId="3" borderId="0" xfId="2" applyNumberFormat="1" applyFont="1" applyFill="1" applyAlignment="1">
      <alignment horizontal="center"/>
    </xf>
    <xf numFmtId="0" fontId="31" fillId="3" borderId="0" xfId="0" applyFont="1" applyFill="1" applyAlignment="1">
      <alignment horizontal="left" vertical="top"/>
    </xf>
    <xf numFmtId="0" fontId="0" fillId="4" borderId="0" xfId="0" applyFill="1"/>
    <xf numFmtId="0" fontId="31" fillId="3" borderId="0" xfId="1" applyFont="1" applyFill="1" applyBorder="1" applyAlignment="1">
      <alignment horizontal="center" vertical="center" wrapText="1"/>
    </xf>
    <xf numFmtId="0" fontId="26" fillId="3" borderId="0" xfId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64" fillId="3" borderId="0" xfId="0" applyFont="1" applyFill="1" applyAlignment="1">
      <alignment vertical="center"/>
    </xf>
    <xf numFmtId="3" fontId="66" fillId="3" borderId="0" xfId="0" applyNumberFormat="1" applyFont="1" applyFill="1" applyAlignment="1">
      <alignment horizontal="right" vertical="center"/>
    </xf>
    <xf numFmtId="0" fontId="64" fillId="3" borderId="0" xfId="0" applyFont="1" applyFill="1" applyAlignment="1">
      <alignment horizontal="center" vertical="center"/>
    </xf>
    <xf numFmtId="0" fontId="60" fillId="3" borderId="0" xfId="0" applyFont="1" applyFill="1" applyAlignment="1">
      <alignment vertical="center"/>
    </xf>
    <xf numFmtId="0" fontId="64" fillId="3" borderId="0" xfId="0" applyFont="1" applyFill="1" applyAlignment="1">
      <alignment horizontal="right" vertical="center"/>
    </xf>
    <xf numFmtId="0" fontId="38" fillId="0" borderId="4" xfId="0" applyFont="1" applyBorder="1" applyAlignment="1">
      <alignment horizontal="right" vertical="center"/>
    </xf>
    <xf numFmtId="49" fontId="31" fillId="3" borderId="0" xfId="0" applyNumberFormat="1" applyFont="1" applyFill="1" applyAlignment="1">
      <alignment horizontal="center" vertical="top"/>
    </xf>
    <xf numFmtId="0" fontId="7" fillId="0" borderId="1" xfId="0" applyFont="1" applyBorder="1" applyAlignment="1">
      <alignment horizontal="center"/>
    </xf>
    <xf numFmtId="49" fontId="41" fillId="4" borderId="0" xfId="0" applyNumberFormat="1" applyFont="1" applyFill="1" applyAlignment="1">
      <alignment horizontal="center" vertical="center"/>
    </xf>
    <xf numFmtId="49" fontId="42" fillId="4" borderId="0" xfId="0" applyNumberFormat="1" applyFont="1" applyFill="1" applyAlignment="1">
      <alignment horizontal="center" vertical="center"/>
    </xf>
    <xf numFmtId="0" fontId="43" fillId="3" borderId="0" xfId="0" applyFont="1" applyFill="1" applyAlignment="1">
      <alignment horizontal="left" vertical="top"/>
    </xf>
    <xf numFmtId="165" fontId="43" fillId="3" borderId="0" xfId="0" applyNumberFormat="1" applyFont="1" applyFill="1" applyAlignment="1">
      <alignment horizontal="center" vertical="center"/>
    </xf>
    <xf numFmtId="49" fontId="30" fillId="4" borderId="0" xfId="0" applyNumberFormat="1" applyFont="1" applyFill="1" applyAlignment="1">
      <alignment horizontal="center" vertical="center"/>
    </xf>
    <xf numFmtId="49" fontId="29" fillId="4" borderId="0" xfId="0" applyNumberFormat="1" applyFont="1" applyFill="1" applyAlignment="1">
      <alignment horizontal="center" vertical="center"/>
    </xf>
    <xf numFmtId="0" fontId="31" fillId="3" borderId="0" xfId="0" applyFont="1" applyFill="1" applyAlignment="1">
      <alignment horizontal="left" vertical="top" wrapText="1"/>
    </xf>
    <xf numFmtId="0" fontId="30" fillId="4" borderId="0" xfId="2" applyFont="1" applyFill="1" applyAlignment="1">
      <alignment horizontal="center" vertical="center"/>
    </xf>
    <xf numFmtId="0" fontId="29" fillId="4" borderId="0" xfId="2" applyFont="1" applyFill="1" applyAlignment="1">
      <alignment horizontal="center" vertical="center"/>
    </xf>
    <xf numFmtId="49" fontId="31" fillId="3" borderId="0" xfId="2" applyNumberFormat="1" applyFont="1" applyFill="1" applyAlignment="1">
      <alignment horizontal="center"/>
    </xf>
    <xf numFmtId="0" fontId="27" fillId="4" borderId="0" xfId="0" applyFont="1" applyFill="1" applyAlignment="1">
      <alignment horizontal="center" vertical="center"/>
    </xf>
    <xf numFmtId="0" fontId="0" fillId="0" borderId="6" xfId="0" applyBorder="1"/>
    <xf numFmtId="0" fontId="27" fillId="4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justify" vertical="center" wrapText="1"/>
    </xf>
    <xf numFmtId="3" fontId="26" fillId="3" borderId="0" xfId="0" applyNumberFormat="1" applyFont="1" applyFill="1" applyAlignment="1">
      <alignment horizontal="right" vertical="center"/>
    </xf>
    <xf numFmtId="3" fontId="26" fillId="3" borderId="0" xfId="0" applyNumberFormat="1" applyFont="1" applyFill="1" applyAlignment="1">
      <alignment vertical="center" wrapText="1"/>
    </xf>
    <xf numFmtId="3" fontId="26" fillId="3" borderId="0" xfId="0" applyNumberFormat="1" applyFont="1" applyFill="1"/>
    <xf numFmtId="0" fontId="27" fillId="4" borderId="0" xfId="0" applyFont="1" applyFill="1" applyAlignment="1">
      <alignment horizontal="justify" vertical="center" wrapText="1"/>
    </xf>
    <xf numFmtId="3" fontId="27" fillId="4" borderId="0" xfId="0" applyNumberFormat="1" applyFont="1" applyFill="1" applyAlignment="1">
      <alignment horizontal="right" vertical="center"/>
    </xf>
    <xf numFmtId="3" fontId="27" fillId="4" borderId="0" xfId="0" applyNumberFormat="1" applyFont="1" applyFill="1" applyAlignment="1">
      <alignment vertical="center" wrapText="1"/>
    </xf>
    <xf numFmtId="49" fontId="68" fillId="0" borderId="6" xfId="0" applyNumberFormat="1" applyFont="1" applyBorder="1" applyAlignment="1">
      <alignment horizontal="right"/>
    </xf>
    <xf numFmtId="165" fontId="26" fillId="3" borderId="0" xfId="0" applyNumberFormat="1" applyFont="1" applyFill="1" applyAlignment="1">
      <alignment horizontal="right" vertical="center"/>
    </xf>
    <xf numFmtId="166" fontId="26" fillId="3" borderId="0" xfId="0" applyNumberFormat="1" applyFont="1" applyFill="1"/>
    <xf numFmtId="0" fontId="71" fillId="0" borderId="0" xfId="4" applyFont="1"/>
    <xf numFmtId="0" fontId="72" fillId="3" borderId="0" xfId="1" applyFont="1" applyFill="1" applyBorder="1" applyAlignment="1">
      <alignment horizontal="center" vertical="center" wrapText="1"/>
    </xf>
    <xf numFmtId="0" fontId="73" fillId="3" borderId="0" xfId="1" applyFont="1" applyFill="1" applyBorder="1" applyAlignment="1">
      <alignment horizontal="center" vertical="center" wrapText="1"/>
    </xf>
    <xf numFmtId="0" fontId="74" fillId="0" borderId="0" xfId="0" applyFont="1" applyAlignment="1">
      <alignment vertical="center"/>
    </xf>
    <xf numFmtId="0" fontId="17" fillId="0" borderId="6" xfId="0" applyFont="1" applyBorder="1" applyAlignment="1">
      <alignment vertical="center" wrapText="1"/>
    </xf>
    <xf numFmtId="0" fontId="69" fillId="0" borderId="6" xfId="0" applyFont="1" applyBorder="1" applyAlignment="1">
      <alignment horizontal="center"/>
    </xf>
    <xf numFmtId="2" fontId="30" fillId="3" borderId="0" xfId="0" applyNumberFormat="1" applyFont="1" applyFill="1" applyAlignment="1">
      <alignment horizontal="center" vertical="center" wrapText="1"/>
    </xf>
    <xf numFmtId="2" fontId="31" fillId="3" borderId="0" xfId="0" applyNumberFormat="1" applyFont="1" applyFill="1" applyAlignment="1">
      <alignment horizontal="center" vertical="center" wrapText="1"/>
    </xf>
    <xf numFmtId="0" fontId="30" fillId="4" borderId="0" xfId="0" applyFont="1" applyFill="1" applyAlignment="1">
      <alignment horizontal="left" vertical="center" wrapText="1"/>
    </xf>
    <xf numFmtId="49" fontId="28" fillId="0" borderId="0" xfId="0" applyNumberFormat="1" applyFont="1" applyAlignment="1">
      <alignment horizontal="right"/>
    </xf>
    <xf numFmtId="3" fontId="31" fillId="3" borderId="0" xfId="0" applyNumberFormat="1" applyFont="1" applyFill="1" applyAlignment="1">
      <alignment horizontal="right"/>
    </xf>
    <xf numFmtId="3" fontId="30" fillId="4" borderId="0" xfId="0" applyNumberFormat="1" applyFont="1" applyFill="1" applyAlignment="1">
      <alignment horizontal="right"/>
    </xf>
    <xf numFmtId="10" fontId="31" fillId="4" borderId="0" xfId="0" applyNumberFormat="1" applyFont="1" applyFill="1" applyAlignment="1">
      <alignment horizontal="center" vertical="center" wrapText="1"/>
    </xf>
    <xf numFmtId="3" fontId="31" fillId="3" borderId="0" xfId="4" applyNumberFormat="1" applyFont="1" applyFill="1" applyAlignment="1">
      <alignment vertical="center"/>
    </xf>
    <xf numFmtId="10" fontId="31" fillId="3" borderId="0" xfId="4" applyNumberFormat="1" applyFont="1" applyFill="1" applyAlignment="1">
      <alignment vertical="center"/>
    </xf>
    <xf numFmtId="0" fontId="70" fillId="0" borderId="0" xfId="0" applyFont="1"/>
    <xf numFmtId="0" fontId="29" fillId="3" borderId="0" xfId="0" applyFont="1" applyFill="1" applyAlignment="1">
      <alignment horizontal="center" vertical="center"/>
    </xf>
    <xf numFmtId="2" fontId="30" fillId="4" borderId="0" xfId="0" applyNumberFormat="1" applyFont="1" applyFill="1" applyAlignment="1">
      <alignment horizontal="center" vertical="center"/>
    </xf>
    <xf numFmtId="2" fontId="30" fillId="4" borderId="0" xfId="0" applyNumberFormat="1" applyFont="1" applyFill="1" applyAlignment="1">
      <alignment horizontal="center" vertical="center" wrapText="1"/>
    </xf>
    <xf numFmtId="2" fontId="31" fillId="3" borderId="0" xfId="0" applyNumberFormat="1" applyFont="1" applyFill="1" applyAlignment="1">
      <alignment horizontal="center" vertical="center"/>
    </xf>
    <xf numFmtId="0" fontId="76" fillId="0" borderId="0" xfId="0" applyFont="1"/>
    <xf numFmtId="0" fontId="41" fillId="4" borderId="0" xfId="0" applyFont="1" applyFill="1" applyAlignment="1">
      <alignment horizontal="justify" vertical="center" wrapText="1"/>
    </xf>
    <xf numFmtId="49" fontId="69" fillId="0" borderId="6" xfId="0" applyNumberFormat="1" applyFont="1" applyBorder="1" applyAlignment="1">
      <alignment horizontal="right"/>
    </xf>
    <xf numFmtId="0" fontId="30" fillId="4" borderId="0" xfId="0" applyFont="1" applyFill="1" applyAlignment="1">
      <alignment horizontal="center" wrapText="1"/>
    </xf>
    <xf numFmtId="1" fontId="29" fillId="4" borderId="0" xfId="0" applyNumberFormat="1" applyFont="1" applyFill="1" applyAlignment="1">
      <alignment horizontal="center" wrapText="1"/>
    </xf>
    <xf numFmtId="166" fontId="31" fillId="3" borderId="0" xfId="0" applyNumberFormat="1" applyFont="1" applyFill="1"/>
    <xf numFmtId="3" fontId="30" fillId="3" borderId="0" xfId="0" applyNumberFormat="1" applyFont="1" applyFill="1" applyAlignment="1">
      <alignment vertical="center"/>
    </xf>
    <xf numFmtId="166" fontId="31" fillId="4" borderId="0" xfId="0" applyNumberFormat="1" applyFont="1" applyFill="1" applyAlignment="1">
      <alignment horizontal="center" vertical="center"/>
    </xf>
    <xf numFmtId="0" fontId="13" fillId="3" borderId="0" xfId="1" applyFill="1" applyAlignment="1">
      <alignment horizontal="center" vertical="center" wrapText="1"/>
    </xf>
    <xf numFmtId="0" fontId="76" fillId="0" borderId="0" xfId="0" applyFont="1" applyAlignment="1">
      <alignment vertical="center"/>
    </xf>
    <xf numFmtId="1" fontId="31" fillId="3" borderId="0" xfId="0" applyNumberFormat="1" applyFont="1" applyFill="1" applyAlignment="1">
      <alignment horizontal="center"/>
    </xf>
    <xf numFmtId="1" fontId="30" fillId="4" borderId="0" xfId="0" applyNumberFormat="1" applyFont="1" applyFill="1" applyAlignment="1">
      <alignment horizontal="center"/>
    </xf>
    <xf numFmtId="0" fontId="43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left" vertical="center"/>
    </xf>
    <xf numFmtId="3" fontId="43" fillId="3" borderId="0" xfId="0" applyNumberFormat="1" applyFont="1" applyFill="1" applyAlignment="1">
      <alignment horizontal="center" vertical="center"/>
    </xf>
    <xf numFmtId="3" fontId="30" fillId="4" borderId="0" xfId="0" applyNumberFormat="1" applyFont="1" applyFill="1"/>
    <xf numFmtId="0" fontId="43" fillId="4" borderId="0" xfId="0" applyFont="1" applyFill="1" applyAlignment="1">
      <alignment horizontal="center" vertical="center"/>
    </xf>
    <xf numFmtId="0" fontId="31" fillId="4" borderId="0" xfId="0" applyFont="1" applyFill="1"/>
    <xf numFmtId="3" fontId="41" fillId="4" borderId="0" xfId="0" applyNumberFormat="1" applyFont="1" applyFill="1" applyAlignment="1">
      <alignment horizontal="center" vertical="center"/>
    </xf>
    <xf numFmtId="0" fontId="30" fillId="3" borderId="0" xfId="0" applyFont="1" applyFill="1" applyAlignment="1">
      <alignment horizontal="justify" vertical="center"/>
    </xf>
    <xf numFmtId="3" fontId="44" fillId="3" borderId="0" xfId="0" applyNumberFormat="1" applyFont="1" applyFill="1" applyAlignment="1">
      <alignment horizontal="right" vertical="center"/>
    </xf>
    <xf numFmtId="2" fontId="31" fillId="3" borderId="0" xfId="3" applyNumberFormat="1" applyFont="1" applyFill="1" applyBorder="1" applyAlignment="1">
      <alignment horizontal="center" vertical="center"/>
    </xf>
    <xf numFmtId="0" fontId="77" fillId="0" borderId="0" xfId="0" applyFont="1"/>
    <xf numFmtId="0" fontId="78" fillId="0" borderId="0" xfId="0" applyFont="1" applyAlignment="1">
      <alignment horizontal="right"/>
    </xf>
    <xf numFmtId="3" fontId="79" fillId="3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3" fontId="80" fillId="3" borderId="0" xfId="0" applyNumberFormat="1" applyFont="1" applyFill="1" applyAlignment="1">
      <alignment horizontal="right" vertical="center"/>
    </xf>
    <xf numFmtId="3" fontId="80" fillId="4" borderId="0" xfId="0" applyNumberFormat="1" applyFont="1" applyFill="1" applyAlignment="1">
      <alignment horizontal="right" vertical="center"/>
    </xf>
    <xf numFmtId="165" fontId="79" fillId="3" borderId="0" xfId="0" applyNumberFormat="1" applyFont="1" applyFill="1" applyAlignment="1">
      <alignment horizontal="right" vertical="center"/>
    </xf>
    <xf numFmtId="165" fontId="80" fillId="3" borderId="0" xfId="0" applyNumberFormat="1" applyFont="1" applyFill="1" applyAlignment="1">
      <alignment horizontal="right" vertical="center"/>
    </xf>
    <xf numFmtId="165" fontId="80" fillId="4" borderId="0" xfId="0" applyNumberFormat="1" applyFont="1" applyFill="1" applyAlignment="1">
      <alignment horizontal="right" vertical="center"/>
    </xf>
    <xf numFmtId="1" fontId="79" fillId="3" borderId="0" xfId="0" applyNumberFormat="1" applyFont="1" applyFill="1"/>
    <xf numFmtId="1" fontId="80" fillId="3" borderId="0" xfId="0" applyNumberFormat="1" applyFont="1" applyFill="1"/>
    <xf numFmtId="1" fontId="80" fillId="4" borderId="0" xfId="0" applyNumberFormat="1" applyFont="1" applyFill="1"/>
    <xf numFmtId="0" fontId="80" fillId="3" borderId="0" xfId="0" applyFont="1" applyFill="1" applyAlignment="1">
      <alignment vertical="center"/>
    </xf>
    <xf numFmtId="0" fontId="79" fillId="3" borderId="0" xfId="0" applyFont="1" applyFill="1" applyAlignment="1">
      <alignment vertical="center"/>
    </xf>
    <xf numFmtId="0" fontId="80" fillId="3" borderId="0" xfId="0" applyFont="1" applyFill="1" applyAlignment="1">
      <alignment horizontal="center" vertical="center"/>
    </xf>
    <xf numFmtId="166" fontId="27" fillId="4" borderId="0" xfId="0" applyNumberFormat="1" applyFont="1" applyFill="1"/>
    <xf numFmtId="0" fontId="33" fillId="0" borderId="0" xfId="0" applyFont="1" applyAlignment="1">
      <alignment horizontal="left" vertical="center"/>
    </xf>
    <xf numFmtId="0" fontId="30" fillId="4" borderId="0" xfId="0" applyFont="1" applyFill="1" applyAlignment="1">
      <alignment horizontal="left" vertical="center"/>
    </xf>
    <xf numFmtId="3" fontId="66" fillId="4" borderId="0" xfId="0" applyNumberFormat="1" applyFont="1" applyFill="1" applyAlignment="1">
      <alignment horizontal="right" vertical="center"/>
    </xf>
    <xf numFmtId="0" fontId="64" fillId="4" borderId="0" xfId="0" applyFont="1" applyFill="1" applyAlignment="1">
      <alignment horizontal="center" vertical="center"/>
    </xf>
    <xf numFmtId="3" fontId="65" fillId="4" borderId="0" xfId="0" applyNumberFormat="1" applyFont="1" applyFill="1" applyAlignment="1">
      <alignment horizontal="right" vertical="center"/>
    </xf>
    <xf numFmtId="0" fontId="79" fillId="4" borderId="0" xfId="0" applyFont="1" applyFill="1" applyAlignment="1">
      <alignment horizontal="center" vertical="center"/>
    </xf>
    <xf numFmtId="166" fontId="79" fillId="3" borderId="0" xfId="0" applyNumberFormat="1" applyFont="1" applyFill="1" applyAlignment="1">
      <alignment horizontal="right" vertical="center"/>
    </xf>
    <xf numFmtId="166" fontId="80" fillId="3" borderId="0" xfId="0" applyNumberFormat="1" applyFont="1" applyFill="1" applyAlignment="1">
      <alignment horizontal="right" vertical="center"/>
    </xf>
    <xf numFmtId="1" fontId="80" fillId="4" borderId="0" xfId="0" applyNumberFormat="1" applyFont="1" applyFill="1" applyAlignment="1">
      <alignment horizontal="right" vertical="center"/>
    </xf>
    <xf numFmtId="166" fontId="26" fillId="3" borderId="0" xfId="0" applyNumberFormat="1" applyFont="1" applyFill="1" applyAlignment="1">
      <alignment horizontal="right" vertical="center"/>
    </xf>
    <xf numFmtId="166" fontId="26" fillId="3" borderId="0" xfId="0" applyNumberFormat="1" applyFont="1" applyFill="1" applyAlignment="1">
      <alignment vertical="center"/>
    </xf>
    <xf numFmtId="3" fontId="0" fillId="0" borderId="4" xfId="0" applyNumberFormat="1" applyBorder="1"/>
    <xf numFmtId="3" fontId="29" fillId="4" borderId="0" xfId="0" applyNumberFormat="1" applyFont="1" applyFill="1" applyAlignment="1">
      <alignment horizontal="center" vertical="center" wrapText="1"/>
    </xf>
    <xf numFmtId="3" fontId="29" fillId="3" borderId="0" xfId="0" applyNumberFormat="1" applyFont="1" applyFill="1" applyAlignment="1">
      <alignment horizontal="center" vertical="center" wrapText="1"/>
    </xf>
    <xf numFmtId="1" fontId="38" fillId="0" borderId="4" xfId="0" applyNumberFormat="1" applyFont="1" applyBorder="1" applyAlignment="1">
      <alignment horizontal="right" vertical="center"/>
    </xf>
    <xf numFmtId="1" fontId="29" fillId="4" borderId="0" xfId="0" applyNumberFormat="1" applyFont="1" applyFill="1" applyAlignment="1">
      <alignment horizontal="center" vertical="center" wrapText="1"/>
    </xf>
    <xf numFmtId="1" fontId="29" fillId="3" borderId="0" xfId="0" applyNumberFormat="1" applyFont="1" applyFill="1" applyAlignment="1">
      <alignment horizontal="center" vertical="center" wrapText="1"/>
    </xf>
    <xf numFmtId="1" fontId="31" fillId="3" borderId="0" xfId="0" applyNumberFormat="1" applyFont="1" applyFill="1" applyAlignment="1">
      <alignment horizontal="right" vertical="center" wrapText="1"/>
    </xf>
    <xf numFmtId="1" fontId="0" fillId="0" borderId="0" xfId="0" applyNumberFormat="1"/>
    <xf numFmtId="1" fontId="30" fillId="3" borderId="0" xfId="0" applyNumberFormat="1" applyFont="1" applyFill="1" applyAlignment="1">
      <alignment horizontal="right" vertical="center" wrapText="1"/>
    </xf>
    <xf numFmtId="1" fontId="30" fillId="4" borderId="0" xfId="0" applyNumberFormat="1" applyFont="1" applyFill="1" applyAlignment="1">
      <alignment horizontal="right" vertical="center" wrapText="1"/>
    </xf>
    <xf numFmtId="166" fontId="30" fillId="4" borderId="0" xfId="0" applyNumberFormat="1" applyFont="1" applyFill="1" applyAlignment="1">
      <alignment horizontal="right" vertical="center" wrapText="1"/>
    </xf>
    <xf numFmtId="0" fontId="81" fillId="0" borderId="0" xfId="4" applyFont="1"/>
    <xf numFmtId="0" fontId="67" fillId="0" borderId="0" xfId="4"/>
    <xf numFmtId="0" fontId="82" fillId="0" borderId="0" xfId="4" applyFont="1"/>
    <xf numFmtId="0" fontId="83" fillId="0" borderId="0" xfId="4" applyFont="1"/>
    <xf numFmtId="0" fontId="84" fillId="0" borderId="0" xfId="4" applyFont="1"/>
    <xf numFmtId="1" fontId="32" fillId="0" borderId="1" xfId="0" applyNumberFormat="1" applyFont="1" applyBorder="1" applyAlignment="1">
      <alignment horizontal="right"/>
    </xf>
    <xf numFmtId="1" fontId="29" fillId="4" borderId="0" xfId="0" applyNumberFormat="1" applyFont="1" applyFill="1" applyAlignment="1">
      <alignment horizontal="center"/>
    </xf>
    <xf numFmtId="1" fontId="31" fillId="3" borderId="0" xfId="0" applyNumberFormat="1" applyFont="1" applyFill="1"/>
    <xf numFmtId="1" fontId="79" fillId="3" borderId="0" xfId="0" applyNumberFormat="1" applyFont="1" applyFill="1" applyAlignment="1">
      <alignment vertical="center"/>
    </xf>
    <xf numFmtId="165" fontId="27" fillId="4" borderId="0" xfId="0" applyNumberFormat="1" applyFont="1" applyFill="1" applyAlignment="1">
      <alignment horizontal="right" vertical="center"/>
    </xf>
    <xf numFmtId="0" fontId="29" fillId="3" borderId="0" xfId="0" applyFont="1" applyFill="1" applyAlignment="1">
      <alignment horizontal="center"/>
    </xf>
    <xf numFmtId="0" fontId="27" fillId="4" borderId="0" xfId="0" applyFont="1" applyFill="1" applyAlignment="1">
      <alignment horizontal="justify" vertical="center"/>
    </xf>
    <xf numFmtId="166" fontId="27" fillId="4" borderId="0" xfId="0" applyNumberFormat="1" applyFont="1" applyFill="1" applyAlignment="1">
      <alignment vertical="center"/>
    </xf>
    <xf numFmtId="1" fontId="30" fillId="4" borderId="0" xfId="0" applyNumberFormat="1" applyFont="1" applyFill="1"/>
    <xf numFmtId="1" fontId="31" fillId="3" borderId="0" xfId="0" applyNumberFormat="1" applyFont="1" applyFill="1" applyAlignment="1">
      <alignment horizontal="right"/>
    </xf>
    <xf numFmtId="1" fontId="30" fillId="4" borderId="0" xfId="0" applyNumberFormat="1" applyFont="1" applyFill="1" applyAlignment="1">
      <alignment horizontal="right"/>
    </xf>
    <xf numFmtId="0" fontId="28" fillId="3" borderId="0" xfId="0" applyFont="1" applyFill="1" applyAlignment="1">
      <alignment horizontal="left" vertical="center"/>
    </xf>
    <xf numFmtId="0" fontId="30" fillId="4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left" vertical="center" wrapText="1"/>
    </xf>
    <xf numFmtId="0" fontId="28" fillId="3" borderId="5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vertical="center" wrapText="1"/>
    </xf>
    <xf numFmtId="0" fontId="28" fillId="3" borderId="0" xfId="0" applyFont="1" applyFill="1" applyAlignment="1">
      <alignment horizontal="left" vertical="center" wrapText="1"/>
    </xf>
    <xf numFmtId="0" fontId="30" fillId="4" borderId="0" xfId="0" applyFont="1" applyFill="1" applyAlignment="1">
      <alignment horizontal="center" vertical="center"/>
    </xf>
    <xf numFmtId="0" fontId="38" fillId="3" borderId="2" xfId="0" applyFont="1" applyFill="1" applyBorder="1" applyAlignment="1">
      <alignment horizontal="left" vertical="center" wrapText="1"/>
    </xf>
    <xf numFmtId="0" fontId="41" fillId="4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vertical="center" wrapText="1"/>
    </xf>
    <xf numFmtId="0" fontId="28" fillId="3" borderId="0" xfId="0" applyFont="1" applyFill="1" applyAlignment="1">
      <alignment horizontal="justify" vertical="center" wrapText="1"/>
    </xf>
    <xf numFmtId="0" fontId="27" fillId="4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left" vertical="center" wrapText="1"/>
    </xf>
    <xf numFmtId="0" fontId="30" fillId="4" borderId="0" xfId="0" applyFont="1" applyFill="1" applyAlignment="1">
      <alignment horizontal="center"/>
    </xf>
    <xf numFmtId="16" fontId="41" fillId="4" borderId="0" xfId="0" applyNumberFormat="1" applyFont="1" applyFill="1" applyAlignment="1">
      <alignment horizontal="center" vertical="center" wrapText="1"/>
    </xf>
    <xf numFmtId="49" fontId="41" fillId="4" borderId="0" xfId="0" applyNumberFormat="1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/>
    </xf>
    <xf numFmtId="0" fontId="41" fillId="4" borderId="0" xfId="0" applyFont="1" applyFill="1" applyAlignment="1">
      <alignment horizontal="center" vertical="top" wrapText="1"/>
    </xf>
    <xf numFmtId="0" fontId="60" fillId="0" borderId="0" xfId="0" applyFont="1" applyAlignment="1">
      <alignment vertical="center" wrapText="1"/>
    </xf>
    <xf numFmtId="0" fontId="75" fillId="0" borderId="0" xfId="0" applyFont="1" applyAlignment="1">
      <alignment horizontal="left" vertical="center" wrapText="1"/>
    </xf>
    <xf numFmtId="0" fontId="28" fillId="3" borderId="0" xfId="0" applyFont="1" applyFill="1" applyAlignment="1">
      <alignment vertical="center" wrapText="1"/>
    </xf>
    <xf numFmtId="0" fontId="53" fillId="3" borderId="3" xfId="0" applyFont="1" applyFill="1" applyBorder="1" applyAlignment="1">
      <alignment vertical="center" wrapText="1"/>
    </xf>
    <xf numFmtId="0" fontId="53" fillId="3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vertical="center" wrapText="1"/>
    </xf>
    <xf numFmtId="0" fontId="53" fillId="3" borderId="2" xfId="0" applyFont="1" applyFill="1" applyBorder="1" applyAlignment="1">
      <alignment horizontal="left" vertical="center" wrapText="1"/>
    </xf>
    <xf numFmtId="0" fontId="54" fillId="4" borderId="0" xfId="0" applyFont="1" applyFill="1" applyAlignment="1">
      <alignment vertical="center" wrapText="1"/>
    </xf>
    <xf numFmtId="0" fontId="54" fillId="4" borderId="0" xfId="0" applyFont="1" applyFill="1" applyAlignment="1">
      <alignment horizontal="center" vertical="center" wrapText="1"/>
    </xf>
    <xf numFmtId="0" fontId="41" fillId="3" borderId="0" xfId="0" applyFont="1" applyFill="1" applyAlignment="1">
      <alignment horizontal="left" vertical="center" wrapText="1"/>
    </xf>
    <xf numFmtId="0" fontId="28" fillId="3" borderId="5" xfId="0" applyFont="1" applyFill="1" applyBorder="1" applyAlignment="1">
      <alignment vertical="center" wrapText="1"/>
    </xf>
    <xf numFmtId="0" fontId="83" fillId="0" borderId="0" xfId="4" applyFont="1" applyAlignment="1">
      <alignment horizontal="left" wrapText="1"/>
    </xf>
    <xf numFmtId="0" fontId="28" fillId="3" borderId="2" xfId="0" applyFont="1" applyFill="1" applyBorder="1" applyAlignment="1">
      <alignment horizontal="left" vertical="center" wrapText="1"/>
    </xf>
    <xf numFmtId="0" fontId="30" fillId="4" borderId="0" xfId="0" applyFont="1" applyFill="1" applyAlignment="1">
      <alignment vertical="center" wrapText="1"/>
    </xf>
    <xf numFmtId="0" fontId="41" fillId="4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right" vertical="center" wrapText="1"/>
    </xf>
    <xf numFmtId="0" fontId="28" fillId="3" borderId="7" xfId="0" applyFont="1" applyFill="1" applyBorder="1" applyAlignment="1">
      <alignment vertical="center" wrapText="1"/>
    </xf>
    <xf numFmtId="0" fontId="38" fillId="3" borderId="0" xfId="0" applyFont="1" applyFill="1" applyAlignment="1">
      <alignment horizontal="justify" vertical="center" wrapText="1"/>
    </xf>
    <xf numFmtId="0" fontId="30" fillId="3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top"/>
    </xf>
    <xf numFmtId="0" fontId="28" fillId="3" borderId="7" xfId="0" applyFont="1" applyFill="1" applyBorder="1" applyAlignment="1">
      <alignment horizontal="justify" vertical="center" wrapText="1"/>
    </xf>
    <xf numFmtId="0" fontId="70" fillId="0" borderId="0" xfId="0" applyFont="1" applyAlignment="1">
      <alignment horizontal="left" vertical="center" wrapText="1"/>
    </xf>
    <xf numFmtId="0" fontId="38" fillId="3" borderId="8" xfId="0" applyFont="1" applyFill="1" applyBorder="1" applyAlignment="1">
      <alignment horizontal="left" vertical="center" wrapText="1"/>
    </xf>
    <xf numFmtId="0" fontId="28" fillId="3" borderId="8" xfId="0" applyFont="1" applyFill="1" applyBorder="1" applyAlignment="1">
      <alignment horizontal="left" vertical="center"/>
    </xf>
    <xf numFmtId="0" fontId="28" fillId="3" borderId="3" xfId="0" applyFont="1" applyFill="1" applyBorder="1" applyAlignment="1">
      <alignment horizontal="justify" vertical="center" wrapText="1"/>
    </xf>
    <xf numFmtId="49" fontId="38" fillId="0" borderId="1" xfId="0" applyNumberFormat="1" applyFont="1" applyBorder="1" applyAlignment="1">
      <alignment horizontal="right"/>
    </xf>
    <xf numFmtId="49" fontId="30" fillId="4" borderId="0" xfId="0" applyNumberFormat="1" applyFont="1" applyFill="1" applyAlignment="1">
      <alignment horizontal="center" vertical="center"/>
    </xf>
    <xf numFmtId="0" fontId="43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/>
    </xf>
    <xf numFmtId="0" fontId="30" fillId="4" borderId="0" xfId="0" applyFont="1" applyFill="1" applyAlignment="1">
      <alignment horizontal="left"/>
    </xf>
    <xf numFmtId="0" fontId="44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horizontal="left" vertical="center"/>
    </xf>
    <xf numFmtId="0" fontId="44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center" vertical="center" wrapText="1"/>
    </xf>
    <xf numFmtId="0" fontId="28" fillId="3" borderId="8" xfId="0" applyFont="1" applyFill="1" applyBorder="1" applyAlignment="1">
      <alignment horizontal="left" wrapText="1"/>
    </xf>
  </cellXfs>
  <cellStyles count="5">
    <cellStyle name="Hyperlink" xfId="1" builtinId="8"/>
    <cellStyle name="Normal" xfId="0" builtinId="0"/>
    <cellStyle name="Normal 2 2" xfId="2" xr:uid="{5D09AAC0-4091-48FC-8C34-9A73831179C6}"/>
    <cellStyle name="Normal 4" xfId="4" xr:uid="{CCD6889C-C608-4193-BE74-D9D99939163C}"/>
    <cellStyle name="Percent" xfId="3" builtinId="5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B9274B-A29B-4B11-A1D7-7DF739022292}"/>
            </a:ext>
          </a:extLst>
        </xdr:cNvPr>
        <xdr:cNvSpPr/>
      </xdr:nvSpPr>
      <xdr:spPr>
        <a:xfrm>
          <a:off x="996315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6BEE78-8929-4EBB-8472-A5D39EA8F359}"/>
            </a:ext>
          </a:extLst>
        </xdr:cNvPr>
        <xdr:cNvSpPr/>
      </xdr:nvSpPr>
      <xdr:spPr>
        <a:xfrm>
          <a:off x="685800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C229E3-EA23-4566-B41B-A490B0624540}"/>
            </a:ext>
          </a:extLst>
        </xdr:cNvPr>
        <xdr:cNvSpPr/>
      </xdr:nvSpPr>
      <xdr:spPr>
        <a:xfrm>
          <a:off x="625792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D2F93A-A4F7-41F4-BA9E-B498A2216D22}"/>
            </a:ext>
          </a:extLst>
        </xdr:cNvPr>
        <xdr:cNvSpPr/>
      </xdr:nvSpPr>
      <xdr:spPr>
        <a:xfrm>
          <a:off x="721042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DCD680-8FEA-45DF-ADCF-4483589145D5}"/>
            </a:ext>
          </a:extLst>
        </xdr:cNvPr>
        <xdr:cNvSpPr/>
      </xdr:nvSpPr>
      <xdr:spPr>
        <a:xfrm>
          <a:off x="1636395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22A282-2F80-4DE6-BB16-2897458CB566}"/>
            </a:ext>
          </a:extLst>
        </xdr:cNvPr>
        <xdr:cNvSpPr/>
      </xdr:nvSpPr>
      <xdr:spPr>
        <a:xfrm>
          <a:off x="8010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19050</xdr:rowOff>
    </xdr:from>
    <xdr:to>
      <xdr:col>9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64F47-EE08-4E7E-807C-3F1B8209EB32}"/>
            </a:ext>
          </a:extLst>
        </xdr:cNvPr>
        <xdr:cNvSpPr/>
      </xdr:nvSpPr>
      <xdr:spPr>
        <a:xfrm>
          <a:off x="620077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17425-A03F-42AE-81F6-88ACBC1893CB}"/>
            </a:ext>
          </a:extLst>
        </xdr:cNvPr>
        <xdr:cNvSpPr/>
      </xdr:nvSpPr>
      <xdr:spPr>
        <a:xfrm>
          <a:off x="1272540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76E862-B997-446C-892A-88D079225878}"/>
            </a:ext>
          </a:extLst>
        </xdr:cNvPr>
        <xdr:cNvSpPr/>
      </xdr:nvSpPr>
      <xdr:spPr>
        <a:xfrm>
          <a:off x="788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6CD466-BCD4-4CD8-9F01-990CA3C256A6}"/>
            </a:ext>
          </a:extLst>
        </xdr:cNvPr>
        <xdr:cNvSpPr/>
      </xdr:nvSpPr>
      <xdr:spPr>
        <a:xfrm>
          <a:off x="1241107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19050</xdr:rowOff>
    </xdr:from>
    <xdr:to>
      <xdr:col>9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B3F05-B667-4B7B-A0F9-241C1336B84F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FD98D3-BD83-4BB3-A3AF-3CEF913F9590}"/>
            </a:ext>
          </a:extLst>
        </xdr:cNvPr>
        <xdr:cNvSpPr/>
      </xdr:nvSpPr>
      <xdr:spPr>
        <a:xfrm>
          <a:off x="979170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8791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9896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138EA-9AD4-432F-BC5E-80D566FE91C8}"/>
            </a:ext>
          </a:extLst>
        </xdr:cNvPr>
        <xdr:cNvSpPr/>
      </xdr:nvSpPr>
      <xdr:spPr>
        <a:xfrm>
          <a:off x="898207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2F35A-260E-4AC5-AEED-F89EC00E72DD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17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7BB90C-B17E-4F17-921C-81D463F1B29F}"/>
            </a:ext>
          </a:extLst>
        </xdr:cNvPr>
        <xdr:cNvSpPr/>
      </xdr:nvSpPr>
      <xdr:spPr>
        <a:xfrm>
          <a:off x="13363575" y="2667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3DE106-CFE3-49E4-AD77-AC091D74B7D7}"/>
            </a:ext>
          </a:extLst>
        </xdr:cNvPr>
        <xdr:cNvSpPr/>
      </xdr:nvSpPr>
      <xdr:spPr>
        <a:xfrm>
          <a:off x="925830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</xdr:row>
      <xdr:rowOff>0</xdr:rowOff>
    </xdr:from>
    <xdr:to>
      <xdr:col>10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190500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EB5D5-ED26-45A6-8FC9-80A647127592}"/>
            </a:ext>
          </a:extLst>
        </xdr:cNvPr>
        <xdr:cNvSpPr/>
      </xdr:nvSpPr>
      <xdr:spPr>
        <a:xfrm>
          <a:off x="13811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FF4133-8BFE-4B6D-AEDE-C860A3AB2672}"/>
            </a:ext>
          </a:extLst>
        </xdr:cNvPr>
        <xdr:cNvSpPr/>
      </xdr:nvSpPr>
      <xdr:spPr>
        <a:xfrm>
          <a:off x="808672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DD7470-BC0E-45A3-AF46-22C191D22567}"/>
            </a:ext>
          </a:extLst>
        </xdr:cNvPr>
        <xdr:cNvSpPr/>
      </xdr:nvSpPr>
      <xdr:spPr>
        <a:xfrm>
          <a:off x="955357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C4394-44A7-409A-AAD5-0234FFD323F1}"/>
            </a:ext>
          </a:extLst>
        </xdr:cNvPr>
        <xdr:cNvSpPr/>
      </xdr:nvSpPr>
      <xdr:spPr>
        <a:xfrm>
          <a:off x="880110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4CC7F-FBD7-4D23-AEB8-FE19695F6EF4}"/>
            </a:ext>
          </a:extLst>
        </xdr:cNvPr>
        <xdr:cNvSpPr/>
      </xdr:nvSpPr>
      <xdr:spPr>
        <a:xfrm>
          <a:off x="720090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08AD8C-DF5A-4E51-9CCF-D8D16E491FE9}"/>
            </a:ext>
          </a:extLst>
        </xdr:cNvPr>
        <xdr:cNvSpPr/>
      </xdr:nvSpPr>
      <xdr:spPr>
        <a:xfrm>
          <a:off x="1328737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0</xdr:rowOff>
    </xdr:from>
    <xdr:to>
      <xdr:col>9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4C0789-3947-41E5-966B-01B64DC309D0}"/>
            </a:ext>
          </a:extLst>
        </xdr:cNvPr>
        <xdr:cNvSpPr/>
      </xdr:nvSpPr>
      <xdr:spPr>
        <a:xfrm>
          <a:off x="909637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0EB270-C68D-4486-9F4C-1A89AC85D264}"/>
            </a:ext>
          </a:extLst>
        </xdr:cNvPr>
        <xdr:cNvSpPr/>
      </xdr:nvSpPr>
      <xdr:spPr>
        <a:xfrm>
          <a:off x="963930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5E053C-4DF1-4289-BE01-1C47591C7E57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293914-9CF2-494D-BB7D-17A433B6B029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50AC30-60D0-4D89-975A-507FC32ECF04}"/>
            </a:ext>
          </a:extLst>
        </xdr:cNvPr>
        <xdr:cNvSpPr/>
      </xdr:nvSpPr>
      <xdr:spPr>
        <a:xfrm>
          <a:off x="814387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50910-87FF-4C0E-B848-3F72828B00B5}"/>
            </a:ext>
          </a:extLst>
        </xdr:cNvPr>
        <xdr:cNvSpPr/>
      </xdr:nvSpPr>
      <xdr:spPr>
        <a:xfrm>
          <a:off x="861060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1818B6-FD1D-4051-BFCF-12B8CFFB3B56}"/>
            </a:ext>
          </a:extLst>
        </xdr:cNvPr>
        <xdr:cNvSpPr/>
      </xdr:nvSpPr>
      <xdr:spPr>
        <a:xfrm>
          <a:off x="1174432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8AEB40-36E2-418B-8009-1F4B707E9D91}"/>
            </a:ext>
          </a:extLst>
        </xdr:cNvPr>
        <xdr:cNvSpPr/>
      </xdr:nvSpPr>
      <xdr:spPr>
        <a:xfrm>
          <a:off x="882015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31FF4E-794D-42AA-9696-7896E0938D55}"/>
            </a:ext>
          </a:extLst>
        </xdr:cNvPr>
        <xdr:cNvSpPr/>
      </xdr:nvSpPr>
      <xdr:spPr>
        <a:xfrm>
          <a:off x="1018222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12EA71-51BE-4CB3-8DF7-8EFFC2A8D389}"/>
            </a:ext>
          </a:extLst>
        </xdr:cNvPr>
        <xdr:cNvSpPr/>
      </xdr:nvSpPr>
      <xdr:spPr>
        <a:xfrm>
          <a:off x="1015365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9DAE9F-29FF-4C7D-88AD-6A00E990ACB7}" name="Table1" displayName="Table1" ref="C5:F7" totalsRowShown="0" headerRowDxfId="6" dataDxfId="4" headerRowBorderDxfId="5" headerRowCellStyle="Normal 2 2" dataCellStyle="Normal 2 2">
  <tableColumns count="4">
    <tableColumn id="1" xr3:uid="{D9CD5A88-FBE2-4042-AF82-61A25D6595BE}" name="NPL/Ukupni krediti" dataDxfId="3" dataCellStyle="Normal 2 2"/>
    <tableColumn id="2" xr3:uid="{634BE8DC-76D5-42B1-9E73-6FF01EDDEBB3}" name="Pravna lica" dataDxfId="2" dataCellStyle="Normal 2 2"/>
    <tableColumn id="3" xr3:uid="{1C50CD53-2708-4FDF-B4BD-E3D5371C2F36}" name="Stanovništvo" dataDxfId="1" dataCellStyle="Normal 2 2"/>
    <tableColumn id="4" xr3:uid="{41591117-A77B-4392-87F1-6CB701138BF7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7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8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9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0.bin"/></Relationships>
</file>

<file path=xl/worksheets/_rels/sheet5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rtner.ba/" TargetMode="External"/><Relationship Id="rId13" Type="http://schemas.openxmlformats.org/officeDocument/2006/relationships/printerSettings" Target="../printerSettings/printerSettings41.bin"/><Relationship Id="rId3" Type="http://schemas.openxmlformats.org/officeDocument/2006/relationships/hyperlink" Target="http://www.lok.ba/" TargetMode="External"/><Relationship Id="rId7" Type="http://schemas.openxmlformats.org/officeDocument/2006/relationships/hyperlink" Target="http://www.mikroaldi.org/" TargetMode="External"/><Relationship Id="rId12" Type="http://schemas.openxmlformats.org/officeDocument/2006/relationships/hyperlink" Target="http://www.partner.ba/" TargetMode="External"/><Relationship Id="rId2" Type="http://schemas.openxmlformats.org/officeDocument/2006/relationships/hyperlink" Target="http://www.lider.ba/" TargetMode="External"/><Relationship Id="rId1" Type="http://schemas.openxmlformats.org/officeDocument/2006/relationships/hyperlink" Target="http://www.eki.ba/" TargetMode="External"/><Relationship Id="rId6" Type="http://schemas.openxmlformats.org/officeDocument/2006/relationships/hyperlink" Target="http://www.mikra.ba/" TargetMode="External"/><Relationship Id="rId11" Type="http://schemas.openxmlformats.org/officeDocument/2006/relationships/hyperlink" Target="http://www.eki.ba/" TargetMode="External"/><Relationship Id="rId5" Type="http://schemas.openxmlformats.org/officeDocument/2006/relationships/hyperlink" Target="http://www.mi-bospo.org/" TargetMode="External"/><Relationship Id="rId10" Type="http://schemas.openxmlformats.org/officeDocument/2006/relationships/hyperlink" Target="http://www.microsunrise.ba/" TargetMode="External"/><Relationship Id="rId4" Type="http://schemas.openxmlformats.org/officeDocument/2006/relationships/hyperlink" Target="http://www.mi-bospo.org/" TargetMode="External"/><Relationship Id="rId9" Type="http://schemas.openxmlformats.org/officeDocument/2006/relationships/hyperlink" Target="http://www.mfi.ba/" TargetMode="External"/><Relationship Id="rId14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3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5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6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47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4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49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5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5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53.bin"/></Relationships>
</file>

<file path=xl/worksheets/_rels/sheet7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3.xml"/><Relationship Id="rId2" Type="http://schemas.openxmlformats.org/officeDocument/2006/relationships/printerSettings" Target="../printerSettings/printerSettings54.bin"/><Relationship Id="rId1" Type="http://schemas.openxmlformats.org/officeDocument/2006/relationships/hyperlink" Target="http://www.porscheleasing.ba/" TargetMode="Externa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92"/>
  <sheetViews>
    <sheetView topLeftCell="A16" workbookViewId="0">
      <selection activeCell="B40" sqref="B40"/>
    </sheetView>
  </sheetViews>
  <sheetFormatPr defaultRowHeight="15" x14ac:dyDescent="0.25"/>
  <cols>
    <col min="2" max="2" width="150.28515625" customWidth="1"/>
  </cols>
  <sheetData>
    <row r="1" spans="1:2" x14ac:dyDescent="0.25">
      <c r="A1" s="110" t="s">
        <v>388</v>
      </c>
      <c r="B1" s="110"/>
    </row>
    <row r="2" spans="1:2" x14ac:dyDescent="0.25">
      <c r="A2" s="110"/>
      <c r="B2" s="265" t="s">
        <v>519</v>
      </c>
    </row>
    <row r="3" spans="1:2" x14ac:dyDescent="0.25">
      <c r="A3" s="110"/>
      <c r="B3" s="265" t="s">
        <v>675</v>
      </c>
    </row>
    <row r="4" spans="1:2" x14ac:dyDescent="0.25">
      <c r="A4" s="110"/>
      <c r="B4" s="265" t="s">
        <v>841</v>
      </c>
    </row>
    <row r="5" spans="1:2" x14ac:dyDescent="0.25">
      <c r="A5" s="110"/>
      <c r="B5" s="265" t="s">
        <v>677</v>
      </c>
    </row>
    <row r="6" spans="1:2" x14ac:dyDescent="0.25">
      <c r="A6" s="110"/>
      <c r="B6" s="265" t="s">
        <v>678</v>
      </c>
    </row>
    <row r="7" spans="1:2" x14ac:dyDescent="0.25">
      <c r="A7" s="110"/>
      <c r="B7" s="265" t="s">
        <v>679</v>
      </c>
    </row>
    <row r="8" spans="1:2" x14ac:dyDescent="0.25">
      <c r="A8" s="110"/>
      <c r="B8" s="265" t="s">
        <v>680</v>
      </c>
    </row>
    <row r="9" spans="1:2" x14ac:dyDescent="0.25">
      <c r="A9" s="110"/>
      <c r="B9" s="265" t="s">
        <v>842</v>
      </c>
    </row>
    <row r="10" spans="1:2" x14ac:dyDescent="0.25">
      <c r="A10" s="110"/>
      <c r="B10" s="265" t="s">
        <v>682</v>
      </c>
    </row>
    <row r="11" spans="1:2" x14ac:dyDescent="0.25">
      <c r="A11" s="110"/>
      <c r="B11" s="265" t="s">
        <v>843</v>
      </c>
    </row>
    <row r="12" spans="1:2" ht="15.75" customHeight="1" x14ac:dyDescent="0.25">
      <c r="A12" s="110"/>
      <c r="B12" s="265" t="s">
        <v>844</v>
      </c>
    </row>
    <row r="13" spans="1:2" ht="15.75" customHeight="1" x14ac:dyDescent="0.25">
      <c r="A13" s="110"/>
      <c r="B13" s="265" t="s">
        <v>845</v>
      </c>
    </row>
    <row r="14" spans="1:2" ht="15.75" customHeight="1" x14ac:dyDescent="0.25">
      <c r="A14" s="110"/>
      <c r="B14" s="265" t="s">
        <v>846</v>
      </c>
    </row>
    <row r="15" spans="1:2" x14ac:dyDescent="0.25">
      <c r="A15" s="110"/>
      <c r="B15" s="265" t="s">
        <v>847</v>
      </c>
    </row>
    <row r="16" spans="1:2" x14ac:dyDescent="0.25">
      <c r="A16" s="110"/>
      <c r="B16" s="265" t="s">
        <v>849</v>
      </c>
    </row>
    <row r="17" spans="1:2" x14ac:dyDescent="0.25">
      <c r="A17" s="110"/>
      <c r="B17" s="265" t="s">
        <v>850</v>
      </c>
    </row>
    <row r="18" spans="1:2" x14ac:dyDescent="0.25">
      <c r="A18" s="110"/>
      <c r="B18" s="265" t="s">
        <v>851</v>
      </c>
    </row>
    <row r="19" spans="1:2" x14ac:dyDescent="0.25">
      <c r="A19" s="110"/>
      <c r="B19" s="265" t="s">
        <v>852</v>
      </c>
    </row>
    <row r="20" spans="1:2" x14ac:dyDescent="0.25">
      <c r="A20" s="110"/>
      <c r="B20" s="265" t="s">
        <v>1310</v>
      </c>
    </row>
    <row r="21" spans="1:2" x14ac:dyDescent="0.25">
      <c r="A21" s="110"/>
      <c r="B21" s="265" t="s">
        <v>1311</v>
      </c>
    </row>
    <row r="22" spans="1:2" x14ac:dyDescent="0.25">
      <c r="A22" s="110"/>
      <c r="B22" s="265" t="s">
        <v>1312</v>
      </c>
    </row>
    <row r="23" spans="1:2" x14ac:dyDescent="0.25">
      <c r="A23" s="110"/>
      <c r="B23" s="265" t="s">
        <v>1313</v>
      </c>
    </row>
    <row r="24" spans="1:2" x14ac:dyDescent="0.25">
      <c r="A24" s="110"/>
      <c r="B24" s="265" t="s">
        <v>1314</v>
      </c>
    </row>
    <row r="25" spans="1:2" x14ac:dyDescent="0.25">
      <c r="A25" s="110"/>
      <c r="B25" s="265" t="s">
        <v>1315</v>
      </c>
    </row>
    <row r="26" spans="1:2" x14ac:dyDescent="0.25">
      <c r="A26" s="110"/>
      <c r="B26" s="265" t="s">
        <v>1316</v>
      </c>
    </row>
    <row r="27" spans="1:2" x14ac:dyDescent="0.25">
      <c r="A27" s="110"/>
      <c r="B27" s="265" t="s">
        <v>1317</v>
      </c>
    </row>
    <row r="28" spans="1:2" x14ac:dyDescent="0.25">
      <c r="A28" s="110"/>
      <c r="B28" s="265" t="s">
        <v>1318</v>
      </c>
    </row>
    <row r="29" spans="1:2" x14ac:dyDescent="0.25">
      <c r="A29" s="110"/>
      <c r="B29" s="265" t="s">
        <v>1319</v>
      </c>
    </row>
    <row r="30" spans="1:2" x14ac:dyDescent="0.25">
      <c r="A30" s="110"/>
      <c r="B30" s="265" t="s">
        <v>1320</v>
      </c>
    </row>
    <row r="31" spans="1:2" x14ac:dyDescent="0.25">
      <c r="A31" s="110"/>
      <c r="B31" s="265" t="s">
        <v>1321</v>
      </c>
    </row>
    <row r="32" spans="1:2" x14ac:dyDescent="0.25">
      <c r="A32" s="110"/>
      <c r="B32" s="265" t="s">
        <v>1322</v>
      </c>
    </row>
    <row r="33" spans="1:2" x14ac:dyDescent="0.25">
      <c r="A33" s="110"/>
      <c r="B33" s="265" t="s">
        <v>1323</v>
      </c>
    </row>
    <row r="34" spans="1:2" x14ac:dyDescent="0.25">
      <c r="A34" s="110"/>
      <c r="B34" s="265" t="s">
        <v>1324</v>
      </c>
    </row>
    <row r="35" spans="1:2" x14ac:dyDescent="0.25">
      <c r="A35" s="110"/>
      <c r="B35" s="265" t="s">
        <v>1325</v>
      </c>
    </row>
    <row r="36" spans="1:2" x14ac:dyDescent="0.25">
      <c r="A36" s="110"/>
      <c r="B36" s="265" t="s">
        <v>1326</v>
      </c>
    </row>
    <row r="37" spans="1:2" x14ac:dyDescent="0.25">
      <c r="A37" s="110"/>
      <c r="B37" s="266" t="s">
        <v>1327</v>
      </c>
    </row>
    <row r="38" spans="1:2" x14ac:dyDescent="0.25">
      <c r="A38" s="110"/>
      <c r="B38" s="266" t="s">
        <v>1328</v>
      </c>
    </row>
    <row r="39" spans="1:2" x14ac:dyDescent="0.25">
      <c r="A39" s="110"/>
      <c r="B39" s="265" t="s">
        <v>1329</v>
      </c>
    </row>
    <row r="40" spans="1:2" x14ac:dyDescent="0.25">
      <c r="A40" s="110"/>
      <c r="B40" s="265" t="s">
        <v>1330</v>
      </c>
    </row>
    <row r="41" spans="1:2" x14ac:dyDescent="0.25">
      <c r="A41" s="110"/>
      <c r="B41" s="265" t="s">
        <v>1331</v>
      </c>
    </row>
    <row r="42" spans="1:2" x14ac:dyDescent="0.25">
      <c r="A42" s="110"/>
      <c r="B42" s="265" t="s">
        <v>1332</v>
      </c>
    </row>
    <row r="43" spans="1:2" x14ac:dyDescent="0.25">
      <c r="A43" s="110"/>
      <c r="B43" s="265" t="s">
        <v>1333</v>
      </c>
    </row>
    <row r="44" spans="1:2" x14ac:dyDescent="0.25">
      <c r="A44" s="110"/>
      <c r="B44" s="265" t="s">
        <v>1334</v>
      </c>
    </row>
    <row r="45" spans="1:2" x14ac:dyDescent="0.25">
      <c r="A45" s="110"/>
      <c r="B45" s="265" t="s">
        <v>1335</v>
      </c>
    </row>
    <row r="46" spans="1:2" x14ac:dyDescent="0.25">
      <c r="A46" s="110"/>
      <c r="B46" s="265" t="s">
        <v>1336</v>
      </c>
    </row>
    <row r="47" spans="1:2" x14ac:dyDescent="0.25">
      <c r="A47" s="110"/>
      <c r="B47" s="265" t="s">
        <v>1337</v>
      </c>
    </row>
    <row r="48" spans="1:2" x14ac:dyDescent="0.25">
      <c r="A48" s="110"/>
      <c r="B48" s="265" t="s">
        <v>1338</v>
      </c>
    </row>
    <row r="49" spans="1:2" x14ac:dyDescent="0.25">
      <c r="A49" s="110"/>
      <c r="B49" s="265" t="s">
        <v>1339</v>
      </c>
    </row>
    <row r="50" spans="1:2" x14ac:dyDescent="0.25">
      <c r="A50" s="110"/>
      <c r="B50" s="265" t="s">
        <v>1340</v>
      </c>
    </row>
    <row r="51" spans="1:2" x14ac:dyDescent="0.25">
      <c r="A51" s="110"/>
      <c r="B51" s="265" t="s">
        <v>1341</v>
      </c>
    </row>
    <row r="52" spans="1:2" x14ac:dyDescent="0.25">
      <c r="A52" s="110"/>
      <c r="B52" s="265" t="s">
        <v>1342</v>
      </c>
    </row>
    <row r="53" spans="1:2" x14ac:dyDescent="0.25">
      <c r="A53" s="110"/>
      <c r="B53" s="265" t="s">
        <v>1343</v>
      </c>
    </row>
    <row r="54" spans="1:2" x14ac:dyDescent="0.25">
      <c r="A54" s="110"/>
      <c r="B54" s="265" t="s">
        <v>1344</v>
      </c>
    </row>
    <row r="55" spans="1:2" x14ac:dyDescent="0.25">
      <c r="A55" s="110"/>
      <c r="B55" s="265" t="s">
        <v>1345</v>
      </c>
    </row>
    <row r="56" spans="1:2" x14ac:dyDescent="0.25">
      <c r="A56" s="110"/>
      <c r="B56" s="265" t="s">
        <v>1346</v>
      </c>
    </row>
    <row r="57" spans="1:2" x14ac:dyDescent="0.25">
      <c r="A57" s="110"/>
      <c r="B57" s="265" t="s">
        <v>1347</v>
      </c>
    </row>
    <row r="58" spans="1:2" x14ac:dyDescent="0.25">
      <c r="A58" s="110"/>
      <c r="B58" s="265" t="s">
        <v>1348</v>
      </c>
    </row>
    <row r="59" spans="1:2" x14ac:dyDescent="0.25">
      <c r="A59" s="110"/>
      <c r="B59" s="265" t="s">
        <v>1349</v>
      </c>
    </row>
    <row r="60" spans="1:2" x14ac:dyDescent="0.25">
      <c r="A60" s="110"/>
      <c r="B60" s="265" t="s">
        <v>1350</v>
      </c>
    </row>
    <row r="61" spans="1:2" x14ac:dyDescent="0.25">
      <c r="A61" s="110"/>
      <c r="B61" s="265" t="s">
        <v>1351</v>
      </c>
    </row>
    <row r="62" spans="1:2" x14ac:dyDescent="0.25">
      <c r="A62" s="110"/>
      <c r="B62" s="265" t="s">
        <v>1352</v>
      </c>
    </row>
    <row r="63" spans="1:2" x14ac:dyDescent="0.25">
      <c r="A63" s="110"/>
      <c r="B63" s="265" t="s">
        <v>1353</v>
      </c>
    </row>
    <row r="64" spans="1:2" x14ac:dyDescent="0.25">
      <c r="A64" s="110"/>
      <c r="B64" s="265" t="s">
        <v>1354</v>
      </c>
    </row>
    <row r="65" spans="1:2" x14ac:dyDescent="0.25">
      <c r="A65" s="110"/>
      <c r="B65" s="265" t="s">
        <v>1355</v>
      </c>
    </row>
    <row r="66" spans="1:2" x14ac:dyDescent="0.25">
      <c r="A66" s="110"/>
      <c r="B66" s="265" t="s">
        <v>1356</v>
      </c>
    </row>
    <row r="67" spans="1:2" x14ac:dyDescent="0.25">
      <c r="A67" s="110"/>
      <c r="B67" s="265" t="s">
        <v>1357</v>
      </c>
    </row>
    <row r="68" spans="1:2" x14ac:dyDescent="0.25">
      <c r="A68" s="110"/>
      <c r="B68" s="266" t="s">
        <v>1358</v>
      </c>
    </row>
    <row r="69" spans="1:2" x14ac:dyDescent="0.25">
      <c r="A69" s="110"/>
      <c r="B69" s="266" t="s">
        <v>1359</v>
      </c>
    </row>
    <row r="70" spans="1:2" x14ac:dyDescent="0.25">
      <c r="A70" s="110"/>
      <c r="B70" s="266" t="s">
        <v>1360</v>
      </c>
    </row>
    <row r="71" spans="1:2" x14ac:dyDescent="0.25">
      <c r="A71" s="110"/>
      <c r="B71" s="266" t="s">
        <v>1361</v>
      </c>
    </row>
    <row r="72" spans="1:2" x14ac:dyDescent="0.25">
      <c r="A72" s="110"/>
      <c r="B72" s="266" t="s">
        <v>1362</v>
      </c>
    </row>
    <row r="73" spans="1:2" x14ac:dyDescent="0.25">
      <c r="A73" s="110"/>
      <c r="B73" s="266" t="s">
        <v>1363</v>
      </c>
    </row>
    <row r="74" spans="1:2" x14ac:dyDescent="0.25">
      <c r="A74" s="110"/>
      <c r="B74" s="267" t="s">
        <v>1364</v>
      </c>
    </row>
    <row r="75" spans="1:2" x14ac:dyDescent="0.25">
      <c r="B75" s="265" t="s">
        <v>1365</v>
      </c>
    </row>
    <row r="76" spans="1:2" x14ac:dyDescent="0.25">
      <c r="B76" s="265" t="s">
        <v>1366</v>
      </c>
    </row>
    <row r="77" spans="1:2" x14ac:dyDescent="0.25">
      <c r="B77" s="265" t="s">
        <v>1367</v>
      </c>
    </row>
    <row r="78" spans="1:2" x14ac:dyDescent="0.25">
      <c r="B78" s="265" t="s">
        <v>1368</v>
      </c>
    </row>
    <row r="79" spans="1:2" x14ac:dyDescent="0.25">
      <c r="B79" s="265" t="s">
        <v>1369</v>
      </c>
    </row>
    <row r="80" spans="1:2" x14ac:dyDescent="0.25">
      <c r="B80" s="265" t="s">
        <v>1370</v>
      </c>
    </row>
    <row r="81" spans="2:2" x14ac:dyDescent="0.25">
      <c r="B81" s="265" t="s">
        <v>1371</v>
      </c>
    </row>
    <row r="82" spans="2:2" x14ac:dyDescent="0.25">
      <c r="B82" s="265" t="s">
        <v>1372</v>
      </c>
    </row>
    <row r="83" spans="2:2" x14ac:dyDescent="0.25">
      <c r="B83" s="265" t="s">
        <v>1373</v>
      </c>
    </row>
    <row r="84" spans="2:2" x14ac:dyDescent="0.25">
      <c r="B84" s="265" t="s">
        <v>1374</v>
      </c>
    </row>
    <row r="85" spans="2:2" x14ac:dyDescent="0.25">
      <c r="B85" s="265" t="s">
        <v>1375</v>
      </c>
    </row>
    <row r="86" spans="2:2" x14ac:dyDescent="0.25">
      <c r="B86" s="265" t="s">
        <v>1376</v>
      </c>
    </row>
    <row r="87" spans="2:2" x14ac:dyDescent="0.25">
      <c r="B87" s="265" t="s">
        <v>1377</v>
      </c>
    </row>
    <row r="88" spans="2:2" x14ac:dyDescent="0.25">
      <c r="B88" s="265" t="s">
        <v>1378</v>
      </c>
    </row>
    <row r="89" spans="2:2" x14ac:dyDescent="0.25">
      <c r="B89" s="265" t="s">
        <v>1379</v>
      </c>
    </row>
    <row r="90" spans="2:2" x14ac:dyDescent="0.25">
      <c r="B90" s="265" t="s">
        <v>1380</v>
      </c>
    </row>
    <row r="91" spans="2:2" x14ac:dyDescent="0.25">
      <c r="B91" s="265" t="s">
        <v>1381</v>
      </c>
    </row>
    <row r="92" spans="2:2" x14ac:dyDescent="0.25">
      <c r="B92" s="265" t="s">
        <v>1382</v>
      </c>
    </row>
  </sheetData>
  <hyperlinks>
    <hyperlink ref="B2" location="'Tabela 1'!A1" display="Tabela 1: Org. dijelovi,  mreža bankomata i POS uređaja banaka koje posluju u FBiH" xr:uid="{BBF4B344-B4F7-48E3-99D3-124ED0A472B9}"/>
    <hyperlink ref="B4" location="'Tabela 3'!A1" display="Tabela 3: Struktura vlasništva prema ukupnom kapitalu" xr:uid="{55EBF0B7-1132-4CBD-AD18-5BA9D0F98BBA}"/>
    <hyperlink ref="B5" location="'Tabela 4'!A1" display="Tabela 4: Struktura vlasništva prema učešću državnog, privatnog i stranog kapitala" xr:uid="{CEC96BE0-EB46-4FE5-AB41-539F6AEA45B8}"/>
    <hyperlink ref="B8" location="'Tabela 7'!A1" display="Tabela 7: Tržišni udjeli banaka prema vrsti vlasništva (većinskom kapitalu)" xr:uid="{DC727F1F-1EC6-4BC4-854B-BE1009148C7C}"/>
    <hyperlink ref="B9" location="'Tabela 8'!A1" display="Tabela 8: Kvalifikaciona struktura zaposlenih  u bankama FBiH" xr:uid="{CC7F0778-E0C8-4CD5-B5D2-5E934B8A8E20}"/>
    <hyperlink ref="B10" location="'Tabela 9'!A1" display="Tabela 9: Ukupna imovina po zaposlenom" xr:uid="{0A1E21C9-63EB-4738-B078-81BDA0E25303}"/>
    <hyperlink ref="B12" location="'Tabela 11'!A1" display="Tabela 11: Ukupna imovina banaka prema vlasničkoj strukturi" xr:uid="{96268232-1161-4947-A650-795135112A3B}"/>
    <hyperlink ref="B15" location="'Tabela 14'!A1" display="Tabela 14: Učešće grupa banaka u ukupnoj imovini" xr:uid="{28D9D0A7-32A7-4FA6-8C13-6BF21CDE17D5}"/>
    <hyperlink ref="B16" location="'Tabela 15'!A1" display="Tabela 15: Novčana sredstva banaka" xr:uid="{4767A1D6-598B-45A4-B458-1AEAB3F46982}"/>
    <hyperlink ref="B17" location="'Tabela 16'!A1" display="Tabela 16: Vrijednosni papiri prema vrsti instrumenta" xr:uid="{537402B1-0D21-46BB-B56F-5EF9F55624B7}"/>
    <hyperlink ref="B19" location="'Tabela 18'!A1" display="Tabela 18: Vrijednosni papiri entitetskih vlada BiH" xr:uid="{43FA025B-AE02-4E05-8B0A-D65ACCFCB856}"/>
    <hyperlink ref="B20" location="'Tabela 19'!A1" display="Tabela 19: Sektorska struktura depozita" xr:uid="{DA6EB249-57F0-443B-8C7F-CB33117E9C41}"/>
    <hyperlink ref="B22" location="'Tabela 21'!A1" display="Tabela 21: Štednja stanovništva  " xr:uid="{0D4B47A5-41E0-4BAC-A9B2-B0028CDC3FAA}"/>
    <hyperlink ref="B23" location="'Tabela 22'!A1" display="Tabela 22: Ročna struktura štednih depozita stanovništva" xr:uid="{EAC9F0A0-28D5-4442-BD0D-D9A44C3FD7AE}"/>
    <hyperlink ref="B24" location="'Tabela 23'!A1" display="Tabela 23: Krediti, štednja i depoziti stanovništva" xr:uid="{54D7593C-7ADA-4655-96B8-28EEB6D7FB25}"/>
    <hyperlink ref="B25" location="'Tabela 24'!A1" display="Tabela 24: Izvještaj o stanju regulatornog kapitala " xr:uid="{9FF74056-37EF-416E-8E1F-BF6B30FCEBA1}"/>
    <hyperlink ref="B26" location="'Tabela 25'!A1" display="Tabela 25: Struktura izloženosti riziku" xr:uid="{F8F9E289-4D4B-43D9-9E6E-C6797FDD28DC}"/>
    <hyperlink ref="B27" location="'Tabela 26'!A1" display="Tabela 26: Pokazatelji adekvatnosti kapitala" xr:uid="{050032BA-14CD-441D-B5CE-C89ADA6F8F20}"/>
    <hyperlink ref="B28" location="'Tabela 27'!A1" display="Tabela 27: Stopa finansijske poluge" xr:uid="{F23A8244-A6C7-47DC-8B4D-ED52CF57D830}"/>
    <hyperlink ref="B29" location="'Tabela 28'!A1" display="Tabela 28: Finansijska imovina, vanbilansne stavke i ECL " xr:uid="{DD12517F-16D8-49E7-9ACA-A42373157331}"/>
    <hyperlink ref="B30" location="'Tabela 29'!A1" display="Tabela 29: Izloženosti prema nivoima kreditnog rizika" xr:uid="{EF0240FF-9B38-4C49-90FF-A0C18AC3D04C}"/>
    <hyperlink ref="B31" location="'Tabela 30'!A1" display="Tabela 30: Sektorska struktura kredita" xr:uid="{A4792F5C-CFD9-4DDF-B3A3-7EF1A955BEF9}"/>
    <hyperlink ref="B32" location="'Tabela 31'!A1" display="Tabela 31: Ročna struktura kredita" xr:uid="{31AFE0D1-4BAE-40C8-BDA2-0608F52A56E1}"/>
    <hyperlink ref="B33" location="'Tabela 32'!A1" display="Tabela 32: Krediti prema nivoima kreditnog rizika" xr:uid="{8C9EF8BA-E66B-4470-B544-3038946F1B2F}"/>
    <hyperlink ref="B39" location="'Tabela 38'!A1" display="Tabela 38: Ostvareni finansijski rezultat banaka" xr:uid="{AB5E31A0-7B5F-4800-B678-8804EE82D5BB}"/>
    <hyperlink ref="B40" location="'Tabela 39'!A1" display="Tabela 39: Struktura ukupnih prihoda banaka" xr:uid="{42938E32-610A-44D5-9ED4-EF8340921542}"/>
    <hyperlink ref="B41" location="'Tabela 40'!A1" display="Tabela 40: Struktura ukupnih rashoda banaka" xr:uid="{D94DD3D9-A4EF-4A17-8DEF-E723A788C48A}"/>
    <hyperlink ref="B42" location="'Tabela 41'!A1" display="Tabela 41: Pokazatelji profitabilnosti, produktivnosti i efikasnosti" xr:uid="{14A1B57B-12B5-4692-8D77-BE53B08B91FA}"/>
    <hyperlink ref="B45" location="'Tabela 44'!A1" display="Tabela 44: LCR" xr:uid="{F47C4671-3005-4940-9914-3FA5D16F7A8D}"/>
    <hyperlink ref="B51" location="'Tabela 50'!A1" display="Tabela 50: Ročna struktura depozita po preostalom dospijeću" xr:uid="{F2358CB4-54E3-44B9-9BA0-F5820CA8BE28}"/>
    <hyperlink ref="B53" location="'Tabela 52'!A1" display="Tabela 52: Pokazatelji likvidnosti" xr:uid="{C754894E-FD8E-4010-872E-D7B0CE5E4D9F}"/>
    <hyperlink ref="B54" location="'Tabela 53'!A1" display="Tabela 53: Devizna pozicija (EUR i ukupno)" xr:uid="{CD2A7205-DE75-4088-82EF-26A4A9A02777}"/>
    <hyperlink ref="B56" location="'Tabela 55'!A1" display="Tabela 55: Osnovni podaci o NFI sa sjedištem u FBiH (broj, poslovna mreža i struktura vlasništva), NFI iz RS-a koje posluju u FBiH i banaka koje obavljaju poslove faktoringa" xr:uid="{16AC1F4A-F630-404D-9F4B-52F73BD3824F}"/>
    <hyperlink ref="B57" location="'Tabela 56'!A1" display="Tabela 56: Pregled osnovnih podataka MKO u FBiH" xr:uid="{C927635E-AE3F-4286-A427-FC1002A3518A}"/>
    <hyperlink ref="B59" location="'Tabela 58'!A1" display="Tabela 58: Ukupna aktiva po zaposlenom u MKO" xr:uid="{713AC26E-B8E5-4676-96C6-9765B6186E2A}"/>
    <hyperlink ref="B58" location="'Tabela 57'!A1" display="Tabela 57: Kvalifikaciona struktura zaposlenih u MKO u FBiH" xr:uid="{EF544E2E-0057-40C6-BEDD-DF21B8C21FE4}"/>
    <hyperlink ref="B60" location="'Tabela 59'!A1" display="Tabela 59: Bilans stanja mikrokreditnog sektora   " xr:uid="{51CF4066-6A4B-4E33-A695-00F0663B1373}"/>
    <hyperlink ref="B61" location="'Tabela 60'!A1" display="Tabela 60: Struktura kapitala mikrokreditnog sektora  " xr:uid="{FC12C73B-98B6-4B36-AB68-7F28E1B95B04}"/>
    <hyperlink ref="B62" location="'Tabela 61'!A1" display="Tabela 61: Ročna struktura uzetih kredita " xr:uid="{05FBB105-4592-4366-BB39-7FE36E2CC8B0}"/>
    <hyperlink ref="B64" location="'Tabela 63'!A1" display="Tabela 63: Sektorska i ročna struktura mikrokredita" xr:uid="{2A15DC91-6B63-4C9E-B6E9-9F4BE1B78B6A}"/>
    <hyperlink ref="B66" location="'Tabela 65'!A1" display="Tabela 65: RKG " xr:uid="{976E6B71-0676-4DF8-99E4-B60FB862C6B4}"/>
    <hyperlink ref="B74" location="'Tabela 73'!A1" display="Tabela 73: Pregled osnovnih podataka lizing društava u FBiH" xr:uid="{61D4AFA4-D650-4E02-940C-5D6A800A1C37}"/>
    <hyperlink ref="B73" location="'Tabela 72'!A1" display="Tabela 72: Struktura ukupnih rashoda MKO" xr:uid="{B4D0F7AD-2F35-4717-903C-1B24709B2DCF}"/>
    <hyperlink ref="B72" location="'Tabela 71'!A1" display="Tabela 71: Struktura ukupnih prihoda MKO" xr:uid="{10E21CB9-4515-41DD-9542-37CF8C3C1FC1}"/>
    <hyperlink ref="B71" location="'Tabela 70'!A1" display="Tabela 70: Ostvareni finansijski rezultat MKO" xr:uid="{100968BF-EFCA-40C5-AEAF-F52064D71B52}"/>
    <hyperlink ref="B69" location="'Tabela 68'!A1" display="Tabela 68: Usporedni pregled prosječnih ponderisanih NKS i EKS za MKO (za pet godina)" xr:uid="{7E1B06DA-361F-4AF9-8BDD-D93D370BB69D}"/>
    <hyperlink ref="B65" location="'Tabela 64'!A1" display="Tabela 64:  Sektorska struktura mikrokredita (usporedni pregled)" xr:uid="{44EB777C-6FA4-4B92-850B-854ABD5E6847}"/>
    <hyperlink ref="B55" location="'Tabela 54'!A1" display="Tabela 54: Ukupna ponderisana pozicija bankarske knjige" xr:uid="{065892B1-C25D-459F-9A5E-30543D464209}"/>
    <hyperlink ref="B46" location="'Tabela 45'!A1" display="Tabela 45: Zaštitni sloj likvidnosti" xr:uid="{54F6FDF3-405F-436E-974E-36C44018D3EF}"/>
    <hyperlink ref="B47" location="'Tabela 46'!A1" display="Tabela 46: Neto likvidnosni odlivi" xr:uid="{694F2008-6C48-4928-BDA5-FA27D95EB03D}"/>
    <hyperlink ref="B63" location="'Tabela 62'!A1" display="Tabela 62: Neto mikrokrediti  " xr:uid="{2AA1617E-816A-4DB2-BA7D-4162E8730F1B}"/>
    <hyperlink ref="B68" location="'Tabela 67'!A1" display="Tabela 67: Pregled prosječnih ponderisanih NKS i EKS za MKO" xr:uid="{8352A693-711F-4E49-980C-1850E4EDE506}"/>
    <hyperlink ref="B70" location="'Tabela 69'!A1" display="Tabela 69: Bilans uspjeha mikrokreditnog sektora" xr:uid="{71CD3BC5-0FA7-4A2D-B4D4-44AA21A08296}"/>
    <hyperlink ref="B52" location="'Tabela 51'!A1" display="Tabela 51: Ročna usklađenost finansijske imovine i finansijskih obaveza do 180 dana" xr:uid="{2298CB5D-5E8F-43CC-B596-E4BD8E7362D5}"/>
    <hyperlink ref="B67" location="'Tabela 66'!A1" display="Tabela 66: Izdvojeni podaci, standardi i ograničenja poslovanja MKO " xr:uid="{10026DCE-64D1-4898-B6D8-9086B624D2D8}"/>
    <hyperlink ref="B48" location="'Tabela 47'!A1" display="Tabela 47: NSFR" xr:uid="{AD7A7CE0-5E0E-43D3-B49B-773A701AEEE8}"/>
    <hyperlink ref="B49" location="'Tabela 48'!A1" display="Tabela 48: Struktura ASF" xr:uid="{028C6959-1782-4CAB-B6C3-4C8F2C35F20C}"/>
    <hyperlink ref="B50" location="'Tabela 49'!A1" display="Tabela 49: Struktura RSF" xr:uid="{0090A7ED-A4C4-4B2D-8E71-F2F63E36DE63}"/>
    <hyperlink ref="B21" location="'Tabela 20'!A1" display="Tabela 20: Struktura depozita stanovništva" xr:uid="{3D245E87-9420-4C45-B079-65B1C4E45BFC}"/>
    <hyperlink ref="B37" location="'Tabela 36 '!A1" display="Tabela 36: Pokazatelji kreditnog rizika" xr:uid="{0D4EA07E-8047-4619-B9E4-A5BF1B8265AD}"/>
    <hyperlink ref="B36" location="'Tabela 35'!A1" display="Tabela 35: Struktura kredita za opću potrošnju" xr:uid="{2C2A77CF-36EE-4AC7-970A-2E05CA6424CD}"/>
    <hyperlink ref="B3" location="'Tabela 2'!A1" display="Tabela 2: Pregled osnovnih podataka o bankama u FBiH" xr:uid="{37BFE651-6295-4254-A7AA-4910DB2E83A9}"/>
    <hyperlink ref="B6" location="'Tabela 5'!A1" display="Tabela 5: Struktura stranog kapitala po zemljama, učešće u %" xr:uid="{0F507AC9-2807-467B-862A-27D920F79B6D}"/>
    <hyperlink ref="B7" location="'Tabela 6'!A1" display=" Tabela 6: Struktura stranog kapitala po zemljama - sjedištu grupe, učešće u %" xr:uid="{0D2EB3FA-A2EC-4A40-AEA1-CD841CCAC0A9}"/>
    <hyperlink ref="B11" location="'Tabela 10'!A1" display="Tabela 10: Bilans stanja banaka u FBiH   " xr:uid="{7278DDF8-E75A-495E-AD62-83FD3DFA9F35}"/>
    <hyperlink ref="B13" location="'Tabela 12'!A1" display="Tabela 12: Herfindahlov indeks koncentracije u ukupnoj imovini, kreditima i depozitima" xr:uid="{77DC7294-5101-43EC-AF47-11A42387F7AD}"/>
    <hyperlink ref="B14" location="'Tabela 13'!A1" display="Tabela 13: Koncentracijske stope za pet najvećih banaka - CR5: ukupna imovina, krediti i depoziti" xr:uid="{03005ABD-E54D-493F-B566-29E8E78B37C9}"/>
    <hyperlink ref="B18" location="'Tabela 17'!A1" display="Tabela 17:  Struktura izloženosti u vidu vrijednosnih papira prema kriteriju države emitenta" xr:uid="{486648D1-17C1-450D-B0EA-4913209D7708}"/>
    <hyperlink ref="B34" location="'Tabela 33'!A1" display="Tabela 33: Učešće NPL-a u kreditima_x0009_" xr:uid="{E4994CB3-6A65-4826-85B7-8BC4867A0B56}"/>
    <hyperlink ref="B35" location="'Tabela 34'!A1" display="Tabela 34: Sektorska struktura kredita prema NACE šifarniku djelatnosti, nivoima kreditnog rizika i ECL" xr:uid="{5B326D02-F8D2-490D-BFD3-48EA3DEE7B83}"/>
    <hyperlink ref="B38" location="'Tabela 37'!A1" display="Tabela 37: Bilans uspjeha banaka u FBiH   " xr:uid="{CEFF265B-7EA8-4237-8038-93D37444ED6F}"/>
    <hyperlink ref="B43" location="'Tabela 42'!A1" display="Tabela 42: Prosječne ponderisane NKS i EKS na kredite po periodima" xr:uid="{1C74A5A0-8ADD-44FB-8FBA-D2C490823F5A}"/>
    <hyperlink ref="B44" location="'Tabela 43'!A1" display="Tabela 43: Prosječne ponderisane NKS i EKS na depozite po periodima" xr:uid="{A774C9FE-D234-435F-9155-CD0CCCAC1838}"/>
    <hyperlink ref="B75" location="'Tabela 74'!A1" display="Tabela 74: Kvalifikaciona struktura zaposlenih u lizing društvima u FBiH" xr:uid="{6AE4A0E5-F6BE-4EDC-8767-B0216AF0819A}"/>
    <hyperlink ref="B76" location="'Tabela 75'!A1" display="Tabela 75: Ukupna aktiva po zaposlenom u lizing društvima" xr:uid="{669DDC38-FF07-42A1-B07D-B69B3C52A8F7}"/>
    <hyperlink ref="B77" location="'Tabela 76'!A1" display="Tabela 76: Bilans stanja lizing sektora" xr:uid="{3D21D319-B2E5-4379-BDDC-B80AFE342119}"/>
    <hyperlink ref="B78" location="'Tabela 77'!A1" display="Tabela 77: Struktura potraživanja po finansijskom lizingu " xr:uid="{265EF311-44E7-45F6-B746-E8C5CFC3E180}"/>
    <hyperlink ref="B79" location="'Tabela 78'!A1" display="Tabela 78:  Struktura potraživanja po finansijskom lizingu (usporedni pregled)" xr:uid="{E41041E1-7058-4755-8C00-F0B706E57C75}"/>
    <hyperlink ref="B80" location="'Tabela 79 i 79a'!A1" display="Tabela 79: Pregled rezervi za finansijski lizing" xr:uid="{02E24399-C2B8-48AB-BDD5-B475D0D4CA83}"/>
    <hyperlink ref="B81" location="'Tabela 79 i 79a'!A1" display="Tabela 79a: Neto potraživanja po finansijskom lizingu jedne banke koja obavlja poslove lizinga" xr:uid="{E50D9580-9FCE-4FB2-8DD5-693242C5394E}"/>
    <hyperlink ref="B82" location="'Tabela 80 i 80a'!A1" display="Tabela 80:  Struktura procijenjene tržišne vrijednosti izuzetih predmeta lizinga i broja izuzetih predmeta lizing sektora" xr:uid="{968FFD4D-C2C0-4862-A5F3-ED2B216001FA}"/>
    <hyperlink ref="B83" location="'Tabela 80 i 80a'!A1" display="Tabela 80a: Struktura procijenjene tržišne vrijednosti izuzetih predmeta lizinga i broja izuzetih predmeta jedne banke koja obavlja poslove lizinga" xr:uid="{A76E8A6B-86FD-4437-923A-205F22BB4639}"/>
    <hyperlink ref="B84" location="'Tabela 81'!A1" display="Tabela 81:  Bilans uspjeha lizing sektora" xr:uid="{3A421C7E-6CB6-4DEC-A017-A48963A3BBD2}"/>
    <hyperlink ref="B85" location="'Tabela 82'!A1" display="Tabela 82: Ostvareni finansijski rezultat lizing društava" xr:uid="{3B67E713-9CCF-4AD3-82A6-2BC69D715A17}"/>
    <hyperlink ref="B86" location="'Tabela 83'!A1" display="Tabela 83: Struktura ukupnih prihoda lizing društava" xr:uid="{0AB3A6B7-18B6-4461-9D86-8C97DFDB1D87}"/>
    <hyperlink ref="B87" location="'Tabela 84'!A1" display="Tabela 84: Struktura ukupnih rashoda lizing društava" xr:uid="{5BC24069-5898-4464-84E9-9730C24D3B4A}"/>
    <hyperlink ref="B88" location="'Tabela 85 i 85a'!A1" display="Tabela 85: Struktura broja zaključenih ugovora i iznosa finansiranja lizing sistema" xr:uid="{7DC58B91-4EF3-4C75-81A2-BE8A1517FFB1}"/>
    <hyperlink ref="B89" location="'Tabela 85 i 85a'!A1" display="Tabela 85a: Struktura broja zaključenih ugovora i iznosa finansiranja jedne banke koja obavlja poslove finansijskog lizinga" xr:uid="{9E440ECD-7C90-458B-9895-70A8E0C23E7D}"/>
    <hyperlink ref="B90" location="'Tabela 86'!A1" display="Tabela 86: Pregled prosječnih ponderisanih NKS i EKS za ugovore o finansijskom lizingu " xr:uid="{9B255D1D-5181-40A8-9B63-E1547176526C}"/>
    <hyperlink ref="B91" location="'Tabela 87'!A1" display="Tabela 87: Usporedni pregled prosječnih ponderisanih NKS i EKS za ugovore o finansijskom lizingu (za pet godina)" xr:uid="{B7555146-248E-49A9-B737-3011952C831A}"/>
    <hyperlink ref="B92" location="'Tabela 88'!A1" display="Tabela 88: Nominalni iznos otkupljenih novčanih potraživanja i isplaćenih kupčevih obaveza prema dobavljačima u FBiH, prema vrsti faktoringa i domicilnosti " xr:uid="{11E76A3C-CE6D-4D92-A153-B7E4D9CD90B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I10"/>
  <sheetViews>
    <sheetView workbookViewId="0"/>
  </sheetViews>
  <sheetFormatPr defaultColWidth="9.140625" defaultRowHeight="15" x14ac:dyDescent="0.25"/>
  <cols>
    <col min="2" max="2" width="13.85546875" customWidth="1"/>
    <col min="3" max="3" width="15.28515625" customWidth="1"/>
    <col min="4" max="4" width="17.28515625" customWidth="1"/>
    <col min="5" max="5" width="15.85546875" customWidth="1"/>
    <col min="6" max="6" width="15.5703125" customWidth="1"/>
    <col min="7" max="7" width="17.5703125" customWidth="1"/>
    <col min="9" max="9" width="10.140625" bestFit="1" customWidth="1"/>
  </cols>
  <sheetData>
    <row r="2" spans="2:9" ht="15.75" x14ac:dyDescent="0.25">
      <c r="B2" s="3"/>
      <c r="C2" s="4"/>
      <c r="D2" s="4"/>
      <c r="E2" s="4"/>
      <c r="F2" s="4"/>
      <c r="G2" s="4"/>
    </row>
    <row r="3" spans="2:9" ht="16.5" thickBot="1" x14ac:dyDescent="0.3">
      <c r="B3" s="69" t="s">
        <v>19</v>
      </c>
      <c r="C3" s="68"/>
      <c r="D3" s="68"/>
      <c r="E3" s="68"/>
      <c r="F3" s="70"/>
      <c r="G3" s="71" t="s">
        <v>263</v>
      </c>
    </row>
    <row r="4" spans="2:9" ht="24.95" customHeight="1" thickTop="1" x14ac:dyDescent="0.25">
      <c r="B4" s="451" t="s">
        <v>682</v>
      </c>
      <c r="C4" s="451"/>
      <c r="D4" s="451"/>
      <c r="E4" s="451"/>
      <c r="F4" s="451"/>
      <c r="G4" s="451"/>
    </row>
    <row r="5" spans="2:9" ht="15.75" x14ac:dyDescent="0.25">
      <c r="B5" s="450" t="s">
        <v>601</v>
      </c>
      <c r="C5" s="450"/>
      <c r="D5" s="450"/>
      <c r="E5" s="450" t="s">
        <v>602</v>
      </c>
      <c r="F5" s="450"/>
      <c r="G5" s="450"/>
    </row>
    <row r="6" spans="2:9" ht="31.5" x14ac:dyDescent="0.25">
      <c r="B6" s="84" t="s">
        <v>13</v>
      </c>
      <c r="C6" s="84" t="s">
        <v>521</v>
      </c>
      <c r="D6" s="84" t="s">
        <v>582</v>
      </c>
      <c r="E6" s="84" t="s">
        <v>583</v>
      </c>
      <c r="F6" s="84" t="s">
        <v>521</v>
      </c>
      <c r="G6" s="84" t="s">
        <v>582</v>
      </c>
    </row>
    <row r="7" spans="2:9" x14ac:dyDescent="0.25">
      <c r="B7" s="86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</row>
    <row r="8" spans="2:9" ht="15.75" x14ac:dyDescent="0.25">
      <c r="B8" s="94">
        <v>6719</v>
      </c>
      <c r="C8" s="94">
        <v>32063233</v>
      </c>
      <c r="D8" s="94">
        <f>C8/B8</f>
        <v>4772.0245572257772</v>
      </c>
      <c r="E8" s="94">
        <v>6720</v>
      </c>
      <c r="F8" s="94">
        <v>32118382</v>
      </c>
      <c r="G8" s="94">
        <f>F8/E8</f>
        <v>4779.5211309523811</v>
      </c>
      <c r="I8" s="25"/>
    </row>
    <row r="9" spans="2:9" ht="15.75" x14ac:dyDescent="0.25">
      <c r="B9" s="20"/>
      <c r="C9" s="4"/>
      <c r="D9" s="4"/>
      <c r="E9" s="4"/>
      <c r="F9" s="4"/>
      <c r="G9" s="4"/>
    </row>
    <row r="10" spans="2:9" x14ac:dyDescent="0.25">
      <c r="F10" s="14"/>
    </row>
  </sheetData>
  <mergeCells count="3">
    <mergeCell ref="B4:G4"/>
    <mergeCell ref="B5:D5"/>
    <mergeCell ref="E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9B4E-74A5-4572-AAEE-D970852B9DD4}">
  <dimension ref="B3:K61"/>
  <sheetViews>
    <sheetView workbookViewId="0"/>
  </sheetViews>
  <sheetFormatPr defaultRowHeight="15" x14ac:dyDescent="0.25"/>
  <cols>
    <col min="2" max="2" width="7.5703125" customWidth="1"/>
    <col min="3" max="3" width="60.7109375" customWidth="1"/>
    <col min="4" max="4" width="14.7109375" customWidth="1"/>
    <col min="6" max="6" width="16.42578125" customWidth="1"/>
    <col min="7" max="7" width="11" customWidth="1"/>
    <col min="8" max="8" width="11.5703125" customWidth="1"/>
    <col min="11" max="11" width="9.140625" customWidth="1"/>
  </cols>
  <sheetData>
    <row r="3" spans="2:11" ht="16.5" thickBot="1" x14ac:dyDescent="0.3">
      <c r="B3" s="262"/>
      <c r="C3" s="262"/>
      <c r="D3" s="262"/>
      <c r="E3" s="262"/>
      <c r="F3" s="262"/>
      <c r="G3" s="262"/>
      <c r="H3" s="320" t="s">
        <v>737</v>
      </c>
    </row>
    <row r="4" spans="2:11" ht="18.75" customHeight="1" thickTop="1" x14ac:dyDescent="0.25">
      <c r="B4" s="452" t="s">
        <v>843</v>
      </c>
      <c r="C4" s="452"/>
      <c r="D4" s="452"/>
      <c r="E4" s="452"/>
      <c r="F4" s="452"/>
      <c r="G4" s="452"/>
      <c r="H4" s="452"/>
    </row>
    <row r="5" spans="2:11" ht="15.75" x14ac:dyDescent="0.25">
      <c r="B5" s="443" t="s">
        <v>100</v>
      </c>
      <c r="C5" s="50"/>
      <c r="D5" s="448" t="s">
        <v>613</v>
      </c>
      <c r="E5" s="448"/>
      <c r="F5" s="448" t="s">
        <v>602</v>
      </c>
      <c r="G5" s="448"/>
      <c r="H5" s="50" t="s">
        <v>1</v>
      </c>
    </row>
    <row r="6" spans="2:11" ht="15.75" x14ac:dyDescent="0.25">
      <c r="B6" s="443"/>
      <c r="C6" s="50" t="s">
        <v>56</v>
      </c>
      <c r="D6" s="50" t="s">
        <v>2</v>
      </c>
      <c r="E6" s="50" t="s">
        <v>32</v>
      </c>
      <c r="F6" s="50" t="s">
        <v>2</v>
      </c>
      <c r="G6" s="50" t="s">
        <v>32</v>
      </c>
      <c r="H6" s="50" t="s">
        <v>333</v>
      </c>
    </row>
    <row r="7" spans="2:11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</row>
    <row r="8" spans="2:11" ht="15.75" x14ac:dyDescent="0.25">
      <c r="B8" s="314"/>
      <c r="C8" s="140" t="s">
        <v>683</v>
      </c>
      <c r="D8" s="314"/>
      <c r="E8" s="314"/>
      <c r="F8" s="314"/>
      <c r="G8" s="394"/>
      <c r="H8" s="314"/>
    </row>
    <row r="9" spans="2:11" ht="15.75" x14ac:dyDescent="0.25">
      <c r="B9" s="87" t="s">
        <v>247</v>
      </c>
      <c r="C9" s="199" t="s">
        <v>512</v>
      </c>
      <c r="D9" s="390">
        <v>6773228</v>
      </c>
      <c r="E9" s="394">
        <f>D9/D$22%</f>
        <v>21.124594640846105</v>
      </c>
      <c r="F9" s="390">
        <v>6198921</v>
      </c>
      <c r="G9" s="394">
        <f>F9/F$22%</f>
        <v>19.300228137270427</v>
      </c>
      <c r="H9" s="397">
        <f>F9/D9*100</f>
        <v>91.520926211254078</v>
      </c>
      <c r="J9" s="14"/>
      <c r="K9" s="26"/>
    </row>
    <row r="10" spans="2:11" ht="15.75" x14ac:dyDescent="0.25">
      <c r="B10" s="87" t="s">
        <v>248</v>
      </c>
      <c r="C10" s="199" t="s">
        <v>684</v>
      </c>
      <c r="D10" s="390">
        <v>33299</v>
      </c>
      <c r="E10" s="394">
        <f t="shared" ref="E10:E21" si="0">D10/D$22%</f>
        <v>0.10385415594241541</v>
      </c>
      <c r="F10" s="390">
        <v>24039</v>
      </c>
      <c r="G10" s="394">
        <f t="shared" ref="G10:G21" si="1">F10/F$22%</f>
        <v>7.4844990634957892E-2</v>
      </c>
      <c r="H10" s="397">
        <f t="shared" ref="H10:H21" si="2">F10/D10*100</f>
        <v>72.191357097810751</v>
      </c>
      <c r="J10" s="14"/>
      <c r="K10" s="26"/>
    </row>
    <row r="11" spans="2:11" ht="15.75" x14ac:dyDescent="0.25">
      <c r="B11" s="87" t="s">
        <v>249</v>
      </c>
      <c r="C11" s="199" t="s">
        <v>685</v>
      </c>
      <c r="D11" s="390">
        <v>1224420</v>
      </c>
      <c r="E11" s="394">
        <f t="shared" si="0"/>
        <v>3.8187664980633733</v>
      </c>
      <c r="F11" s="390">
        <v>1235667</v>
      </c>
      <c r="G11" s="394">
        <f t="shared" si="1"/>
        <v>3.8472267999054246</v>
      </c>
      <c r="H11" s="397">
        <f t="shared" si="2"/>
        <v>100.9185573577694</v>
      </c>
      <c r="J11" s="14"/>
      <c r="K11" s="26"/>
    </row>
    <row r="12" spans="2:11" ht="15.75" x14ac:dyDescent="0.25">
      <c r="B12" s="87" t="s">
        <v>250</v>
      </c>
      <c r="C12" s="199" t="s">
        <v>385</v>
      </c>
      <c r="D12" s="390">
        <v>23276744</v>
      </c>
      <c r="E12" s="394">
        <f t="shared" si="0"/>
        <v>72.596372299699155</v>
      </c>
      <c r="F12" s="390">
        <v>23879514</v>
      </c>
      <c r="G12" s="394">
        <f t="shared" si="1"/>
        <v>74.348433865690993</v>
      </c>
      <c r="H12" s="397">
        <f t="shared" si="2"/>
        <v>102.58958039835812</v>
      </c>
      <c r="J12" s="14"/>
      <c r="K12" s="26"/>
    </row>
    <row r="13" spans="2:11" ht="15.75" x14ac:dyDescent="0.25">
      <c r="B13" s="87" t="s">
        <v>251</v>
      </c>
      <c r="C13" s="199" t="s">
        <v>686</v>
      </c>
      <c r="D13" s="390">
        <v>35137</v>
      </c>
      <c r="E13" s="394">
        <f t="shared" si="0"/>
        <v>0.1095865784963107</v>
      </c>
      <c r="F13" s="390">
        <v>34040</v>
      </c>
      <c r="G13" s="394">
        <f t="shared" si="1"/>
        <v>0.10598292280103026</v>
      </c>
      <c r="H13" s="397">
        <f t="shared" si="2"/>
        <v>96.877934940376235</v>
      </c>
      <c r="J13" s="14"/>
      <c r="K13" s="26"/>
    </row>
    <row r="14" spans="2:11" ht="15.75" x14ac:dyDescent="0.25">
      <c r="B14" s="87" t="s">
        <v>252</v>
      </c>
      <c r="C14" s="199" t="s">
        <v>687</v>
      </c>
      <c r="D14" s="390">
        <v>5271</v>
      </c>
      <c r="E14" s="394">
        <f t="shared" si="0"/>
        <v>1.6439390251132814E-2</v>
      </c>
      <c r="F14" s="390">
        <v>4463</v>
      </c>
      <c r="G14" s="394">
        <f t="shared" si="1"/>
        <v>1.3895469578760224E-2</v>
      </c>
      <c r="H14" s="397">
        <f t="shared" si="2"/>
        <v>84.670840447732871</v>
      </c>
      <c r="J14" s="14"/>
      <c r="K14" s="26"/>
    </row>
    <row r="15" spans="2:11" ht="15.75" x14ac:dyDescent="0.25">
      <c r="B15" s="87" t="s">
        <v>253</v>
      </c>
      <c r="C15" s="199" t="s">
        <v>688</v>
      </c>
      <c r="D15" s="390">
        <v>4686</v>
      </c>
      <c r="E15" s="394">
        <f t="shared" si="0"/>
        <v>1.461487055906059E-2</v>
      </c>
      <c r="F15" s="390">
        <v>13122</v>
      </c>
      <c r="G15" s="394">
        <f t="shared" si="1"/>
        <v>4.0855109077412431E-2</v>
      </c>
      <c r="H15" s="397">
        <f t="shared" si="2"/>
        <v>280.02560819462229</v>
      </c>
      <c r="J15" s="14"/>
      <c r="K15" s="26"/>
    </row>
    <row r="16" spans="2:11" ht="15.75" x14ac:dyDescent="0.25">
      <c r="B16" s="87" t="s">
        <v>254</v>
      </c>
      <c r="C16" s="199" t="s">
        <v>689</v>
      </c>
      <c r="D16" s="390">
        <v>35026</v>
      </c>
      <c r="E16" s="394">
        <f t="shared" si="0"/>
        <v>0.10924038758037906</v>
      </c>
      <c r="F16" s="390">
        <v>34475</v>
      </c>
      <c r="G16" s="394">
        <f t="shared" si="1"/>
        <v>0.10733728741379313</v>
      </c>
      <c r="H16" s="397">
        <f t="shared" si="2"/>
        <v>98.426882886998229</v>
      </c>
      <c r="J16" s="14"/>
      <c r="K16" s="26"/>
    </row>
    <row r="17" spans="2:11" ht="15.75" x14ac:dyDescent="0.25">
      <c r="B17" s="87" t="s">
        <v>255</v>
      </c>
      <c r="C17" s="199" t="s">
        <v>690</v>
      </c>
      <c r="D17" s="390">
        <v>536353</v>
      </c>
      <c r="E17" s="394">
        <f t="shared" si="0"/>
        <v>1.6727976246188274</v>
      </c>
      <c r="F17" s="390">
        <v>539668</v>
      </c>
      <c r="G17" s="394">
        <f t="shared" si="1"/>
        <v>1.680246532966698</v>
      </c>
      <c r="H17" s="397">
        <f t="shared" si="2"/>
        <v>100.61806310396324</v>
      </c>
      <c r="J17" s="14"/>
      <c r="K17" s="26"/>
    </row>
    <row r="18" spans="2:11" ht="15.75" x14ac:dyDescent="0.25">
      <c r="B18" s="87" t="s">
        <v>256</v>
      </c>
      <c r="C18" s="199" t="s">
        <v>691</v>
      </c>
      <c r="D18" s="390">
        <v>81375</v>
      </c>
      <c r="E18" s="394">
        <f t="shared" si="0"/>
        <v>0.25379536742286718</v>
      </c>
      <c r="F18" s="390">
        <v>81738</v>
      </c>
      <c r="G18" s="394">
        <f t="shared" si="1"/>
        <v>0.25448978096094627</v>
      </c>
      <c r="H18" s="397">
        <f t="shared" si="2"/>
        <v>100.44608294930875</v>
      </c>
      <c r="J18" s="14"/>
      <c r="K18" s="26"/>
    </row>
    <row r="19" spans="2:11" ht="31.5" x14ac:dyDescent="0.25">
      <c r="B19" s="87" t="s">
        <v>257</v>
      </c>
      <c r="C19" s="53" t="s">
        <v>692</v>
      </c>
      <c r="D19" s="390">
        <v>12271</v>
      </c>
      <c r="E19" s="394">
        <f t="shared" si="0"/>
        <v>3.8271249814390208E-2</v>
      </c>
      <c r="F19" s="390">
        <v>12271</v>
      </c>
      <c r="G19" s="394">
        <f t="shared" si="1"/>
        <v>3.8205536007386673E-2</v>
      </c>
      <c r="H19" s="434">
        <f t="shared" si="2"/>
        <v>100</v>
      </c>
      <c r="J19" s="14"/>
      <c r="K19" s="26"/>
    </row>
    <row r="20" spans="2:11" ht="31.5" x14ac:dyDescent="0.25">
      <c r="B20" s="87" t="s">
        <v>258</v>
      </c>
      <c r="C20" s="53" t="s">
        <v>693</v>
      </c>
      <c r="D20" s="390">
        <v>3637</v>
      </c>
      <c r="E20" s="394">
        <f t="shared" si="0"/>
        <v>1.1343210461652447E-2</v>
      </c>
      <c r="F20" s="390">
        <v>7629</v>
      </c>
      <c r="G20" s="394">
        <f t="shared" si="1"/>
        <v>2.3752753174179197E-2</v>
      </c>
      <c r="H20" s="397">
        <f t="shared" si="2"/>
        <v>209.76079186142425</v>
      </c>
      <c r="J20" s="14"/>
      <c r="K20" s="26"/>
    </row>
    <row r="21" spans="2:11" ht="15.75" x14ac:dyDescent="0.25">
      <c r="B21" s="87" t="s">
        <v>259</v>
      </c>
      <c r="C21" s="199" t="s">
        <v>694</v>
      </c>
      <c r="D21" s="390">
        <v>41786</v>
      </c>
      <c r="E21" s="394">
        <f t="shared" si="0"/>
        <v>0.13032372624432476</v>
      </c>
      <c r="F21" s="390">
        <v>52835</v>
      </c>
      <c r="G21" s="394">
        <f t="shared" si="1"/>
        <v>0.16450081451799159</v>
      </c>
      <c r="H21" s="397">
        <f t="shared" si="2"/>
        <v>126.44187048293686</v>
      </c>
      <c r="J21" s="14"/>
      <c r="K21" s="26"/>
    </row>
    <row r="22" spans="2:11" ht="15.75" x14ac:dyDescent="0.25">
      <c r="B22" s="170" t="s">
        <v>260</v>
      </c>
      <c r="C22" s="219" t="s">
        <v>695</v>
      </c>
      <c r="D22" s="157">
        <f>SUM(D9:D21)</f>
        <v>32063233</v>
      </c>
      <c r="E22" s="157">
        <f>SUM(E9:E21)</f>
        <v>99.999999999999986</v>
      </c>
      <c r="F22" s="157">
        <f>SUM(F9:F21)</f>
        <v>32118382</v>
      </c>
      <c r="G22" s="157">
        <f>SUM(G9:G21)</f>
        <v>100</v>
      </c>
      <c r="H22" s="399">
        <f>F22/D22*100</f>
        <v>100.17200074615059</v>
      </c>
      <c r="J22" s="14"/>
      <c r="K22" s="26"/>
    </row>
    <row r="23" spans="2:11" ht="15.75" x14ac:dyDescent="0.25">
      <c r="B23" s="209" t="s">
        <v>696</v>
      </c>
      <c r="C23" s="216" t="s">
        <v>697</v>
      </c>
      <c r="D23" s="390">
        <v>5321808</v>
      </c>
      <c r="E23" s="316"/>
      <c r="F23" s="390">
        <v>5336015</v>
      </c>
      <c r="G23" s="317"/>
      <c r="H23" s="397">
        <f t="shared" ref="H23:H42" si="3">F23/D23*100</f>
        <v>100.26695814655471</v>
      </c>
      <c r="J23" s="14"/>
      <c r="K23" s="26"/>
    </row>
    <row r="24" spans="2:11" ht="15.75" x14ac:dyDescent="0.25">
      <c r="B24" s="170" t="s">
        <v>698</v>
      </c>
      <c r="C24" s="405" t="s">
        <v>699</v>
      </c>
      <c r="D24" s="157">
        <f>D22+D23</f>
        <v>37385041</v>
      </c>
      <c r="E24" s="406"/>
      <c r="F24" s="157">
        <f>F22+F23</f>
        <v>37454397</v>
      </c>
      <c r="G24" s="407"/>
      <c r="H24" s="399">
        <f t="shared" si="3"/>
        <v>100.18551805252802</v>
      </c>
      <c r="J24" s="14"/>
      <c r="K24" s="26"/>
    </row>
    <row r="25" spans="2:11" ht="15.75" x14ac:dyDescent="0.25">
      <c r="B25" s="199"/>
      <c r="C25" s="209" t="s">
        <v>700</v>
      </c>
      <c r="D25" s="319"/>
      <c r="E25" s="315"/>
      <c r="F25" s="315"/>
      <c r="G25" s="315"/>
      <c r="H25" s="398"/>
      <c r="J25" s="14"/>
      <c r="K25" s="26"/>
    </row>
    <row r="26" spans="2:11" ht="15.75" x14ac:dyDescent="0.25">
      <c r="B26" s="87" t="s">
        <v>701</v>
      </c>
      <c r="C26" s="199" t="s">
        <v>702</v>
      </c>
      <c r="D26" s="390">
        <v>1290</v>
      </c>
      <c r="E26" s="394">
        <f>D26/D$42%</f>
        <v>4.0232998338002902E-3</v>
      </c>
      <c r="F26" s="390">
        <v>1482</v>
      </c>
      <c r="G26" s="394">
        <f>F26/F$42%</f>
        <v>4.6141801289990257E-3</v>
      </c>
      <c r="H26" s="397">
        <f t="shared" si="3"/>
        <v>114.88372093023256</v>
      </c>
      <c r="J26" s="14"/>
      <c r="K26" s="26"/>
    </row>
    <row r="27" spans="2:11" ht="15.75" x14ac:dyDescent="0.25">
      <c r="B27" s="87" t="s">
        <v>703</v>
      </c>
      <c r="C27" s="199" t="s">
        <v>704</v>
      </c>
      <c r="D27" s="390">
        <v>27699943</v>
      </c>
      <c r="E27" s="394">
        <f t="shared" ref="E27:G41" si="4">D27/D$42%</f>
        <v>86.391609355176371</v>
      </c>
      <c r="F27" s="390">
        <v>27599333</v>
      </c>
      <c r="G27" s="394">
        <f t="shared" ref="G27:G32" si="5">F27/F$42%</f>
        <v>85.930022875996684</v>
      </c>
      <c r="H27" s="397">
        <f t="shared" si="3"/>
        <v>99.636786256202768</v>
      </c>
      <c r="J27" s="14"/>
      <c r="K27" s="26"/>
    </row>
    <row r="28" spans="2:11" ht="15.75" x14ac:dyDescent="0.25">
      <c r="B28" s="87" t="s">
        <v>705</v>
      </c>
      <c r="C28" s="199" t="s">
        <v>706</v>
      </c>
      <c r="D28" s="390">
        <v>16016</v>
      </c>
      <c r="E28" s="394">
        <f t="shared" si="4"/>
        <v>4.9951294680732908E-2</v>
      </c>
      <c r="F28" s="390">
        <v>15074</v>
      </c>
      <c r="G28" s="394">
        <f t="shared" si="5"/>
        <v>4.6932625684569039E-2</v>
      </c>
      <c r="H28" s="397">
        <f t="shared" si="3"/>
        <v>94.118381618381619</v>
      </c>
      <c r="J28" s="14"/>
      <c r="K28" s="26"/>
    </row>
    <row r="29" spans="2:11" ht="15.75" x14ac:dyDescent="0.25">
      <c r="B29" s="87" t="s">
        <v>707</v>
      </c>
      <c r="C29" s="199" t="s">
        <v>708</v>
      </c>
      <c r="D29" s="390">
        <v>5518</v>
      </c>
      <c r="E29" s="394">
        <f t="shared" si="4"/>
        <v>1.7209743010007755E-2</v>
      </c>
      <c r="F29" s="390">
        <v>238</v>
      </c>
      <c r="G29" s="394">
        <f t="shared" si="5"/>
        <v>7.4100868468405417E-4</v>
      </c>
      <c r="H29" s="397">
        <f t="shared" si="3"/>
        <v>4.3131569409206234</v>
      </c>
      <c r="J29" s="14"/>
      <c r="K29" s="26"/>
    </row>
    <row r="30" spans="2:11" ht="15.75" x14ac:dyDescent="0.25">
      <c r="B30" s="87" t="s">
        <v>709</v>
      </c>
      <c r="C30" s="199" t="s">
        <v>710</v>
      </c>
      <c r="D30" s="390">
        <v>6954</v>
      </c>
      <c r="E30" s="394">
        <f t="shared" si="4"/>
        <v>2.1688393057555985E-2</v>
      </c>
      <c r="F30" s="390">
        <v>7079</v>
      </c>
      <c r="G30" s="394">
        <f t="shared" si="5"/>
        <v>2.2040338146547978E-2</v>
      </c>
      <c r="H30" s="397">
        <f t="shared" si="3"/>
        <v>101.79752660339373</v>
      </c>
      <c r="J30" s="14"/>
      <c r="K30" s="26"/>
    </row>
    <row r="31" spans="2:11" ht="15.75" x14ac:dyDescent="0.25">
      <c r="B31" s="87" t="s">
        <v>711</v>
      </c>
      <c r="C31" s="199" t="s">
        <v>712</v>
      </c>
      <c r="D31" s="390">
        <v>135546</v>
      </c>
      <c r="E31" s="394">
        <f t="shared" si="4"/>
        <v>0.4227458909087552</v>
      </c>
      <c r="F31" s="390">
        <v>136177</v>
      </c>
      <c r="G31" s="394">
        <f t="shared" si="5"/>
        <v>0.42398462039588419</v>
      </c>
      <c r="H31" s="397">
        <f t="shared" si="3"/>
        <v>100.46552461894855</v>
      </c>
      <c r="J31" s="14"/>
      <c r="K31" s="26"/>
    </row>
    <row r="32" spans="2:11" ht="15.75" x14ac:dyDescent="0.25">
      <c r="B32" s="87" t="s">
        <v>713</v>
      </c>
      <c r="C32" s="199" t="s">
        <v>714</v>
      </c>
      <c r="D32" s="390">
        <v>76410</v>
      </c>
      <c r="E32" s="394">
        <f t="shared" si="4"/>
        <v>0.23831034131835674</v>
      </c>
      <c r="F32" s="390">
        <v>122524</v>
      </c>
      <c r="G32" s="394">
        <f t="shared" si="5"/>
        <v>0.38147625244634054</v>
      </c>
      <c r="H32" s="397">
        <f t="shared" si="3"/>
        <v>160.35073943201152</v>
      </c>
      <c r="J32" s="14"/>
      <c r="K32" s="26"/>
    </row>
    <row r="33" spans="2:11" ht="15.75" x14ac:dyDescent="0.25">
      <c r="B33" s="170" t="s">
        <v>715</v>
      </c>
      <c r="C33" s="219" t="s">
        <v>716</v>
      </c>
      <c r="D33" s="157">
        <f>SUM(D26:D32)</f>
        <v>27941677</v>
      </c>
      <c r="E33" s="396">
        <f t="shared" si="4"/>
        <v>87.145538317985583</v>
      </c>
      <c r="F33" s="393">
        <f>SUM(F26:F32)</f>
        <v>27881907</v>
      </c>
      <c r="G33" s="396">
        <f>F33/F$42%</f>
        <v>86.809811901483698</v>
      </c>
      <c r="H33" s="399">
        <f t="shared" si="3"/>
        <v>99.786090147703021</v>
      </c>
      <c r="J33" s="14"/>
      <c r="K33" s="26"/>
    </row>
    <row r="34" spans="2:11" ht="15.75" x14ac:dyDescent="0.25">
      <c r="B34" s="318"/>
      <c r="C34" s="209" t="s">
        <v>717</v>
      </c>
      <c r="D34" s="319"/>
      <c r="E34" s="394"/>
      <c r="F34" s="400"/>
      <c r="G34" s="401"/>
      <c r="H34" s="398"/>
      <c r="J34" s="14"/>
      <c r="K34" s="26"/>
    </row>
    <row r="35" spans="2:11" ht="15.75" x14ac:dyDescent="0.25">
      <c r="B35" s="87" t="s">
        <v>718</v>
      </c>
      <c r="C35" s="199" t="s">
        <v>719</v>
      </c>
      <c r="D35" s="390">
        <v>1614389</v>
      </c>
      <c r="E35" s="394">
        <f t="shared" si="4"/>
        <v>5.0350162754953622</v>
      </c>
      <c r="F35" s="390">
        <v>1633879</v>
      </c>
      <c r="G35" s="410">
        <f t="shared" si="4"/>
        <v>5.0870526416928472</v>
      </c>
      <c r="H35" s="397">
        <f t="shared" si="3"/>
        <v>101.20726788896603</v>
      </c>
      <c r="J35" s="14"/>
      <c r="K35" s="26"/>
    </row>
    <row r="36" spans="2:11" ht="15.75" x14ac:dyDescent="0.25">
      <c r="B36" s="87" t="s">
        <v>720</v>
      </c>
      <c r="C36" s="199" t="s">
        <v>721</v>
      </c>
      <c r="D36" s="390">
        <v>118164</v>
      </c>
      <c r="E36" s="394">
        <f t="shared" si="4"/>
        <v>0.36853426477610662</v>
      </c>
      <c r="F36" s="390">
        <v>118164</v>
      </c>
      <c r="G36" s="410">
        <f t="shared" si="4"/>
        <v>0.36790147150002761</v>
      </c>
      <c r="H36" s="397">
        <f t="shared" si="3"/>
        <v>100</v>
      </c>
      <c r="J36" s="14"/>
      <c r="K36" s="26"/>
    </row>
    <row r="37" spans="2:11" ht="15.75" x14ac:dyDescent="0.25">
      <c r="B37" s="87" t="s">
        <v>722</v>
      </c>
      <c r="C37" s="199" t="s">
        <v>723</v>
      </c>
      <c r="D37" s="390">
        <v>1237590</v>
      </c>
      <c r="E37" s="394">
        <f t="shared" si="4"/>
        <v>3.859841582413102</v>
      </c>
      <c r="F37" s="390">
        <v>1368430</v>
      </c>
      <c r="G37" s="410">
        <f t="shared" si="4"/>
        <v>4.2605819932025222</v>
      </c>
      <c r="H37" s="397">
        <f t="shared" si="3"/>
        <v>110.57216040853595</v>
      </c>
      <c r="J37" s="14"/>
      <c r="K37" s="26"/>
    </row>
    <row r="38" spans="2:11" ht="15.75" x14ac:dyDescent="0.25">
      <c r="B38" s="87" t="s">
        <v>724</v>
      </c>
      <c r="C38" s="199" t="s">
        <v>725</v>
      </c>
      <c r="D38" s="390">
        <v>-17373</v>
      </c>
      <c r="E38" s="394">
        <f t="shared" si="4"/>
        <v>-5.4183556598924376E-2</v>
      </c>
      <c r="F38" s="390">
        <v>-13567</v>
      </c>
      <c r="G38" s="410">
        <f t="shared" si="4"/>
        <v>-4.2240608508859502E-2</v>
      </c>
      <c r="H38" s="397">
        <f t="shared" si="3"/>
        <v>78.092442295516022</v>
      </c>
      <c r="J38" s="14"/>
      <c r="K38" s="26"/>
    </row>
    <row r="39" spans="2:11" ht="15.75" x14ac:dyDescent="0.25">
      <c r="B39" s="87" t="s">
        <v>726</v>
      </c>
      <c r="C39" s="199" t="s">
        <v>727</v>
      </c>
      <c r="D39" s="390">
        <v>1267413</v>
      </c>
      <c r="E39" s="394">
        <f t="shared" si="4"/>
        <v>3.95285466066382</v>
      </c>
      <c r="F39" s="390">
        <v>1184498</v>
      </c>
      <c r="G39" s="410">
        <f t="shared" si="4"/>
        <v>3.6879130461802214</v>
      </c>
      <c r="H39" s="397">
        <f t="shared" si="3"/>
        <v>93.457933601754135</v>
      </c>
      <c r="J39" s="14"/>
      <c r="K39" s="26"/>
    </row>
    <row r="40" spans="2:11" ht="15.75" x14ac:dyDescent="0.25">
      <c r="B40" s="87" t="s">
        <v>728</v>
      </c>
      <c r="C40" s="199" t="s">
        <v>729</v>
      </c>
      <c r="D40" s="390">
        <v>98627</v>
      </c>
      <c r="E40" s="394">
        <f t="shared" si="4"/>
        <v>0.30760154473505524</v>
      </c>
      <c r="F40" s="390">
        <v>54929</v>
      </c>
      <c r="G40" s="410">
        <f t="shared" si="4"/>
        <v>0.17102044555046389</v>
      </c>
      <c r="H40" s="397">
        <f t="shared" si="3"/>
        <v>55.693674146024918</v>
      </c>
      <c r="J40" s="14"/>
      <c r="K40" s="26"/>
    </row>
    <row r="41" spans="2:11" ht="15.75" x14ac:dyDescent="0.25">
      <c r="B41" s="87" t="s">
        <v>730</v>
      </c>
      <c r="C41" s="216" t="s">
        <v>731</v>
      </c>
      <c r="D41" s="392">
        <f>D35+D36+D37+D38+D39-D40</f>
        <v>4121556</v>
      </c>
      <c r="E41" s="395">
        <f t="shared" si="4"/>
        <v>12.854461682014412</v>
      </c>
      <c r="F41" s="392">
        <f>F35+F36+F37+F38+F39-F40</f>
        <v>4236475</v>
      </c>
      <c r="G41" s="411">
        <f t="shared" si="4"/>
        <v>13.190188098516295</v>
      </c>
      <c r="H41" s="398">
        <f t="shared" si="3"/>
        <v>102.78824308101116</v>
      </c>
      <c r="J41" s="14"/>
      <c r="K41" s="26"/>
    </row>
    <row r="42" spans="2:11" ht="15.75" x14ac:dyDescent="0.25">
      <c r="B42" s="170" t="s">
        <v>732</v>
      </c>
      <c r="C42" s="219" t="s">
        <v>733</v>
      </c>
      <c r="D42" s="393">
        <f>D33+D41</f>
        <v>32063233</v>
      </c>
      <c r="E42" s="393">
        <f>E33+E41</f>
        <v>100</v>
      </c>
      <c r="F42" s="393">
        <f>F33+F41</f>
        <v>32118382</v>
      </c>
      <c r="G42" s="412">
        <f>G33+G41</f>
        <v>100</v>
      </c>
      <c r="H42" s="399">
        <f t="shared" si="3"/>
        <v>100.17200074615059</v>
      </c>
      <c r="J42" s="14"/>
      <c r="K42" s="26"/>
    </row>
    <row r="43" spans="2:11" ht="15.75" x14ac:dyDescent="0.25">
      <c r="B43" s="209" t="s">
        <v>734</v>
      </c>
      <c r="C43" s="216" t="s">
        <v>697</v>
      </c>
      <c r="D43" s="390">
        <v>5321808</v>
      </c>
      <c r="E43" s="316"/>
      <c r="F43" s="390">
        <v>5336015</v>
      </c>
      <c r="G43" s="402"/>
      <c r="H43" s="397">
        <f>F43/D43*100</f>
        <v>100.26695814655471</v>
      </c>
      <c r="J43" s="14"/>
      <c r="K43" s="26"/>
    </row>
    <row r="44" spans="2:11" ht="15.75" x14ac:dyDescent="0.25">
      <c r="B44" s="170" t="s">
        <v>735</v>
      </c>
      <c r="C44" s="219" t="s">
        <v>736</v>
      </c>
      <c r="D44" s="393">
        <f>D42+D43</f>
        <v>37385041</v>
      </c>
      <c r="E44" s="408"/>
      <c r="F44" s="393">
        <f>F42+F43</f>
        <v>37454397</v>
      </c>
      <c r="G44" s="409"/>
      <c r="H44" s="399">
        <f>F44/D44*100</f>
        <v>100.18551805252802</v>
      </c>
      <c r="J44" s="14"/>
      <c r="K44" s="26"/>
    </row>
    <row r="45" spans="2:11" x14ac:dyDescent="0.25">
      <c r="D45" s="391"/>
    </row>
    <row r="46" spans="2:11" x14ac:dyDescent="0.25">
      <c r="D46" s="391"/>
    </row>
    <row r="47" spans="2:11" x14ac:dyDescent="0.25">
      <c r="D47" s="391"/>
    </row>
    <row r="48" spans="2:11" x14ac:dyDescent="0.25">
      <c r="D48" s="391"/>
    </row>
    <row r="49" spans="4:4" x14ac:dyDescent="0.25">
      <c r="D49" s="391"/>
    </row>
    <row r="50" spans="4:4" x14ac:dyDescent="0.25">
      <c r="D50" s="391"/>
    </row>
    <row r="51" spans="4:4" x14ac:dyDescent="0.25">
      <c r="D51" s="391"/>
    </row>
    <row r="52" spans="4:4" x14ac:dyDescent="0.25">
      <c r="D52" s="391"/>
    </row>
    <row r="53" spans="4:4" x14ac:dyDescent="0.25">
      <c r="D53" s="391"/>
    </row>
    <row r="54" spans="4:4" x14ac:dyDescent="0.25">
      <c r="D54" s="391"/>
    </row>
    <row r="55" spans="4:4" x14ac:dyDescent="0.25">
      <c r="D55" s="391"/>
    </row>
    <row r="56" spans="4:4" x14ac:dyDescent="0.25">
      <c r="D56" s="391"/>
    </row>
    <row r="57" spans="4:4" x14ac:dyDescent="0.25">
      <c r="D57" s="391"/>
    </row>
    <row r="58" spans="4:4" x14ac:dyDescent="0.25">
      <c r="D58" s="391"/>
    </row>
    <row r="59" spans="4:4" x14ac:dyDescent="0.25">
      <c r="D59" s="391"/>
    </row>
    <row r="60" spans="4:4" x14ac:dyDescent="0.25">
      <c r="D60" s="391"/>
    </row>
    <row r="61" spans="4:4" x14ac:dyDescent="0.25">
      <c r="D61" s="391"/>
    </row>
  </sheetData>
  <mergeCells count="4">
    <mergeCell ref="B4:H4"/>
    <mergeCell ref="B5:B6"/>
    <mergeCell ref="D5:E5"/>
    <mergeCell ref="F5:G5"/>
  </mergeCells>
  <pageMargins left="0.7" right="0.7" top="0.75" bottom="0.75" header="0.3" footer="0.3"/>
  <pageSetup paperSize="9" orientation="portrait" verticalDpi="0" r:id="rId1"/>
  <ignoredErrors>
    <ignoredError sqref="E33:F33 E41:F41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L12"/>
  <sheetViews>
    <sheetView workbookViewId="0"/>
  </sheetViews>
  <sheetFormatPr defaultColWidth="9.140625" defaultRowHeight="15" x14ac:dyDescent="0.25"/>
  <cols>
    <col min="2" max="2" width="7.7109375" customWidth="1"/>
    <col min="3" max="3" width="14.5703125" customWidth="1"/>
    <col min="4" max="4" width="12.140625" customWidth="1"/>
    <col min="5" max="5" width="13.85546875" customWidth="1"/>
    <col min="6" max="6" width="11.85546875" customWidth="1"/>
    <col min="7" max="7" width="12.140625" customWidth="1"/>
    <col min="8" max="8" width="13" customWidth="1"/>
    <col min="9" max="9" width="12.140625" customWidth="1"/>
    <col min="10" max="10" width="13.140625" customWidth="1"/>
  </cols>
  <sheetData>
    <row r="2" spans="2:12" ht="15.75" x14ac:dyDescent="0.25">
      <c r="C2" s="5"/>
      <c r="D2" s="4"/>
      <c r="E2" s="4"/>
      <c r="F2" s="4"/>
      <c r="G2" s="4"/>
      <c r="H2" s="4"/>
      <c r="I2" s="4"/>
      <c r="J2" s="4"/>
      <c r="L2" s="41"/>
    </row>
    <row r="3" spans="2:12" ht="16.5" thickBot="1" x14ac:dyDescent="0.3">
      <c r="B3" s="47"/>
      <c r="C3" s="73"/>
      <c r="D3" s="68"/>
      <c r="E3" s="68"/>
      <c r="F3" s="68"/>
      <c r="G3" s="68"/>
      <c r="H3" s="68"/>
      <c r="I3" s="68"/>
      <c r="J3" s="71" t="s">
        <v>261</v>
      </c>
    </row>
    <row r="4" spans="2:12" ht="24.95" customHeight="1" thickTop="1" x14ac:dyDescent="0.25">
      <c r="B4" s="454" t="s">
        <v>844</v>
      </c>
      <c r="C4" s="454"/>
      <c r="D4" s="454"/>
      <c r="E4" s="454"/>
      <c r="F4" s="454"/>
      <c r="G4" s="454"/>
      <c r="H4" s="454"/>
      <c r="I4" s="454"/>
      <c r="J4" s="454"/>
    </row>
    <row r="5" spans="2:12" ht="15.75" x14ac:dyDescent="0.25">
      <c r="B5" s="453" t="s">
        <v>100</v>
      </c>
      <c r="C5" s="450" t="s">
        <v>0</v>
      </c>
      <c r="D5" s="450" t="s">
        <v>601</v>
      </c>
      <c r="E5" s="450"/>
      <c r="F5" s="450"/>
      <c r="G5" s="450" t="s">
        <v>602</v>
      </c>
      <c r="H5" s="450"/>
      <c r="I5" s="450"/>
      <c r="J5" s="256" t="s">
        <v>1</v>
      </c>
    </row>
    <row r="6" spans="2:12" ht="31.5" x14ac:dyDescent="0.25">
      <c r="B6" s="453"/>
      <c r="C6" s="450"/>
      <c r="D6" s="84" t="s">
        <v>25</v>
      </c>
      <c r="E6" s="84" t="s">
        <v>521</v>
      </c>
      <c r="F6" s="84" t="s">
        <v>20</v>
      </c>
      <c r="G6" s="84" t="s">
        <v>25</v>
      </c>
      <c r="H6" s="84" t="s">
        <v>521</v>
      </c>
      <c r="I6" s="84" t="s">
        <v>20</v>
      </c>
      <c r="J6" s="84" t="s">
        <v>335</v>
      </c>
    </row>
    <row r="7" spans="2:12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  <c r="I7" s="86">
        <v>8</v>
      </c>
      <c r="J7" s="86">
        <v>9</v>
      </c>
    </row>
    <row r="8" spans="2:12" ht="15.75" x14ac:dyDescent="0.25">
      <c r="B8" s="102" t="s">
        <v>247</v>
      </c>
      <c r="C8" s="103" t="s">
        <v>26</v>
      </c>
      <c r="D8" s="101">
        <v>1</v>
      </c>
      <c r="E8" s="89">
        <v>1282042</v>
      </c>
      <c r="F8" s="90">
        <f>E8/E10*100</f>
        <v>3.9984801283139477</v>
      </c>
      <c r="G8" s="101">
        <v>1</v>
      </c>
      <c r="H8" s="89">
        <v>1279426</v>
      </c>
      <c r="I8" s="90">
        <f>H8/H10*100</f>
        <v>3.983469652985633</v>
      </c>
      <c r="J8" s="91">
        <f>H8/E8*100</f>
        <v>99.795950522681792</v>
      </c>
    </row>
    <row r="9" spans="2:12" ht="15.75" x14ac:dyDescent="0.25">
      <c r="B9" s="102" t="s">
        <v>248</v>
      </c>
      <c r="C9" s="88" t="s">
        <v>27</v>
      </c>
      <c r="D9" s="101">
        <v>12</v>
      </c>
      <c r="E9" s="89">
        <v>30781191</v>
      </c>
      <c r="F9" s="90">
        <f>E9/E10*100</f>
        <v>96.001519871686043</v>
      </c>
      <c r="G9" s="101">
        <v>12</v>
      </c>
      <c r="H9" s="89">
        <v>30838956</v>
      </c>
      <c r="I9" s="90">
        <f>H9/H10*100</f>
        <v>96.016530347014367</v>
      </c>
      <c r="J9" s="91">
        <f>H9/E9*100</f>
        <v>100.1876633038663</v>
      </c>
    </row>
    <row r="10" spans="2:12" ht="18.75" customHeight="1" x14ac:dyDescent="0.25">
      <c r="B10" s="450" t="s">
        <v>18</v>
      </c>
      <c r="C10" s="450"/>
      <c r="D10" s="84">
        <f t="shared" ref="D10:G10" si="0">SUM(D8:D9)</f>
        <v>13</v>
      </c>
      <c r="E10" s="92">
        <f t="shared" si="0"/>
        <v>32063233</v>
      </c>
      <c r="F10" s="93">
        <f t="shared" si="0"/>
        <v>99.999999999999986</v>
      </c>
      <c r="G10" s="84">
        <f t="shared" si="0"/>
        <v>13</v>
      </c>
      <c r="H10" s="92">
        <f>H8+H9</f>
        <v>32118382</v>
      </c>
      <c r="I10" s="93">
        <f>SUM(I8:I9)</f>
        <v>100</v>
      </c>
      <c r="J10" s="93">
        <f>H10/E10*100</f>
        <v>100.17200074615059</v>
      </c>
      <c r="L10" s="14"/>
    </row>
    <row r="12" spans="2:12" x14ac:dyDescent="0.25">
      <c r="C12" s="21"/>
    </row>
  </sheetData>
  <mergeCells count="6">
    <mergeCell ref="B5:B6"/>
    <mergeCell ref="B4:J4"/>
    <mergeCell ref="B10:C10"/>
    <mergeCell ref="C5:C6"/>
    <mergeCell ref="D5:F5"/>
    <mergeCell ref="G5:I5"/>
  </mergeCells>
  <pageMargins left="0.7" right="0.7" top="0.75" bottom="0.75" header="0.3" footer="0.3"/>
  <ignoredErrors>
    <ignoredError sqref="D10:E10 G10" formulaRange="1"/>
    <ignoredError sqref="H10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85878-D104-4740-AD48-804EF98B73ED}">
  <dimension ref="B3:F9"/>
  <sheetViews>
    <sheetView workbookViewId="0"/>
  </sheetViews>
  <sheetFormatPr defaultRowHeight="15" x14ac:dyDescent="0.25"/>
  <cols>
    <col min="2" max="2" width="9.42578125" customWidth="1"/>
    <col min="3" max="3" width="19" customWidth="1"/>
    <col min="4" max="5" width="18.7109375" customWidth="1"/>
    <col min="6" max="6" width="20" customWidth="1"/>
  </cols>
  <sheetData>
    <row r="3" spans="2:6" ht="15.75" thickBot="1" x14ac:dyDescent="0.3">
      <c r="B3" s="262"/>
      <c r="C3" s="262"/>
      <c r="D3" s="262"/>
      <c r="E3" s="262"/>
      <c r="F3" s="262"/>
    </row>
    <row r="4" spans="2:6" ht="26.25" customHeight="1" thickTop="1" x14ac:dyDescent="0.25">
      <c r="B4" s="442" t="s">
        <v>845</v>
      </c>
      <c r="C4" s="442"/>
      <c r="D4" s="442"/>
      <c r="E4" s="442"/>
      <c r="F4" s="442"/>
    </row>
    <row r="5" spans="2:6" ht="15.75" x14ac:dyDescent="0.25">
      <c r="B5" s="170" t="s">
        <v>100</v>
      </c>
      <c r="C5" s="170" t="s">
        <v>616</v>
      </c>
      <c r="D5" s="170" t="s">
        <v>521</v>
      </c>
      <c r="E5" s="170" t="s">
        <v>329</v>
      </c>
      <c r="F5" s="170" t="s">
        <v>23</v>
      </c>
    </row>
    <row r="6" spans="2:6" x14ac:dyDescent="0.25">
      <c r="B6" s="104">
        <v>1</v>
      </c>
      <c r="C6" s="104">
        <v>2</v>
      </c>
      <c r="D6" s="104">
        <v>3</v>
      </c>
      <c r="E6" s="104">
        <v>4</v>
      </c>
      <c r="F6" s="104">
        <v>5</v>
      </c>
    </row>
    <row r="7" spans="2:6" ht="15.75" x14ac:dyDescent="0.25">
      <c r="B7" s="87" t="s">
        <v>247</v>
      </c>
      <c r="C7" s="321" t="s">
        <v>738</v>
      </c>
      <c r="D7" s="141">
        <v>1325</v>
      </c>
      <c r="E7" s="141">
        <v>1275</v>
      </c>
      <c r="F7" s="141">
        <v>1342</v>
      </c>
    </row>
    <row r="8" spans="2:6" ht="15.75" x14ac:dyDescent="0.25">
      <c r="B8" s="87" t="s">
        <v>248</v>
      </c>
      <c r="C8" s="321" t="s">
        <v>739</v>
      </c>
      <c r="D8" s="141">
        <v>1332</v>
      </c>
      <c r="E8" s="141">
        <v>1298</v>
      </c>
      <c r="F8" s="141">
        <v>1320</v>
      </c>
    </row>
    <row r="9" spans="2:6" ht="15.75" x14ac:dyDescent="0.25">
      <c r="B9" s="87" t="s">
        <v>249</v>
      </c>
      <c r="C9" s="321" t="s">
        <v>740</v>
      </c>
      <c r="D9" s="141">
        <v>1324.1010930660566</v>
      </c>
      <c r="E9" s="141">
        <v>1299.354906292986</v>
      </c>
      <c r="F9" s="141">
        <v>1313.0052412625043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2714-4C64-40B1-9F72-D465E8E679E0}">
  <dimension ref="B3:F9"/>
  <sheetViews>
    <sheetView workbookViewId="0"/>
  </sheetViews>
  <sheetFormatPr defaultRowHeight="15" x14ac:dyDescent="0.25"/>
  <cols>
    <col min="3" max="3" width="22.140625" customWidth="1"/>
    <col min="4" max="4" width="15.140625" customWidth="1"/>
    <col min="5" max="5" width="14.28515625" customWidth="1"/>
    <col min="6" max="6" width="14.85546875" customWidth="1"/>
  </cols>
  <sheetData>
    <row r="3" spans="2:6" ht="16.5" thickBot="1" x14ac:dyDescent="0.3">
      <c r="B3" s="65"/>
      <c r="C3" s="65"/>
      <c r="D3" s="65"/>
      <c r="E3" s="65"/>
      <c r="F3" s="322" t="s">
        <v>380</v>
      </c>
    </row>
    <row r="4" spans="2:6" ht="33.75" customHeight="1" thickTop="1" x14ac:dyDescent="0.25">
      <c r="B4" s="447" t="s">
        <v>846</v>
      </c>
      <c r="C4" s="447"/>
      <c r="D4" s="447"/>
      <c r="E4" s="447"/>
      <c r="F4" s="447"/>
    </row>
    <row r="5" spans="2:6" ht="15.75" x14ac:dyDescent="0.25">
      <c r="B5" s="170" t="s">
        <v>100</v>
      </c>
      <c r="C5" s="256" t="s">
        <v>741</v>
      </c>
      <c r="D5" s="323" t="s">
        <v>738</v>
      </c>
      <c r="E5" s="323" t="s">
        <v>739</v>
      </c>
      <c r="F5" s="323" t="s">
        <v>740</v>
      </c>
    </row>
    <row r="6" spans="2:6" x14ac:dyDescent="0.25">
      <c r="B6" s="104">
        <v>1</v>
      </c>
      <c r="C6" s="125">
        <v>2</v>
      </c>
      <c r="D6" s="324" t="s">
        <v>742</v>
      </c>
      <c r="E6" s="324" t="s">
        <v>743</v>
      </c>
      <c r="F6" s="324" t="s">
        <v>744</v>
      </c>
    </row>
    <row r="7" spans="2:6" ht="15.75" x14ac:dyDescent="0.25">
      <c r="B7" s="52" t="s">
        <v>247</v>
      </c>
      <c r="C7" s="325" t="s">
        <v>521</v>
      </c>
      <c r="D7" s="326">
        <v>70.099999999999994</v>
      </c>
      <c r="E7" s="326">
        <v>69.900000000000006</v>
      </c>
      <c r="F7" s="326">
        <v>69.4895683101347</v>
      </c>
    </row>
    <row r="8" spans="2:6" ht="15.75" x14ac:dyDescent="0.25">
      <c r="B8" s="52" t="s">
        <v>248</v>
      </c>
      <c r="C8" s="325" t="s">
        <v>329</v>
      </c>
      <c r="D8" s="326">
        <v>69.8</v>
      </c>
      <c r="E8" s="326">
        <v>69.900000000000006</v>
      </c>
      <c r="F8" s="326">
        <v>69.959966769842197</v>
      </c>
    </row>
    <row r="9" spans="2:6" ht="15.75" x14ac:dyDescent="0.25">
      <c r="B9" s="52" t="s">
        <v>249</v>
      </c>
      <c r="C9" s="325" t="s">
        <v>23</v>
      </c>
      <c r="D9" s="326">
        <v>70.5</v>
      </c>
      <c r="E9" s="326">
        <v>69.8</v>
      </c>
      <c r="F9" s="326">
        <v>69.262603934656497</v>
      </c>
    </row>
  </sheetData>
  <mergeCells count="1">
    <mergeCell ref="B4:F4"/>
  </mergeCells>
  <pageMargins left="0.7" right="0.7" top="0.75" bottom="0.75" header="0.3" footer="0.3"/>
  <ignoredErrors>
    <ignoredError sqref="D6:F6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I13"/>
  <sheetViews>
    <sheetView workbookViewId="0"/>
  </sheetViews>
  <sheetFormatPr defaultRowHeight="15" x14ac:dyDescent="0.25"/>
  <cols>
    <col min="2" max="2" width="7.7109375" customWidth="1"/>
    <col min="3" max="3" width="28.85546875" customWidth="1"/>
    <col min="4" max="4" width="15.85546875" customWidth="1"/>
    <col min="5" max="5" width="12.140625" customWidth="1"/>
    <col min="6" max="6" width="13.140625" customWidth="1"/>
    <col min="7" max="7" width="15.140625" customWidth="1"/>
    <col min="8" max="8" width="12.42578125" customWidth="1"/>
    <col min="9" max="9" width="13" customWidth="1"/>
  </cols>
  <sheetData>
    <row r="2" spans="2:9" x14ac:dyDescent="0.25">
      <c r="B2" s="41"/>
      <c r="C2" s="41"/>
      <c r="D2" s="41"/>
      <c r="E2" s="41"/>
      <c r="F2" s="41"/>
      <c r="G2" s="41"/>
      <c r="H2" s="41"/>
      <c r="I2" s="41"/>
    </row>
    <row r="3" spans="2:9" ht="16.5" thickBot="1" x14ac:dyDescent="0.3">
      <c r="B3" s="75"/>
      <c r="C3" s="76" t="s">
        <v>28</v>
      </c>
      <c r="D3" s="77"/>
      <c r="E3" s="77"/>
      <c r="F3" s="77"/>
      <c r="G3" s="77"/>
      <c r="H3" s="77"/>
      <c r="I3" s="78" t="s">
        <v>262</v>
      </c>
    </row>
    <row r="4" spans="2:9" ht="24.95" customHeight="1" thickTop="1" x14ac:dyDescent="0.25">
      <c r="B4" s="454" t="s">
        <v>848</v>
      </c>
      <c r="C4" s="454"/>
      <c r="D4" s="454"/>
      <c r="E4" s="454"/>
      <c r="F4" s="454"/>
      <c r="G4" s="454"/>
      <c r="H4" s="454"/>
      <c r="I4" s="454"/>
    </row>
    <row r="5" spans="2:9" ht="15.75" x14ac:dyDescent="0.25">
      <c r="B5" s="448" t="s">
        <v>100</v>
      </c>
      <c r="C5" s="450" t="s">
        <v>584</v>
      </c>
      <c r="D5" s="450" t="s">
        <v>601</v>
      </c>
      <c r="E5" s="450"/>
      <c r="F5" s="450"/>
      <c r="G5" s="450" t="s">
        <v>602</v>
      </c>
      <c r="H5" s="450"/>
      <c r="I5" s="450"/>
    </row>
    <row r="6" spans="2:9" ht="15.75" x14ac:dyDescent="0.25">
      <c r="B6" s="448"/>
      <c r="C6" s="450"/>
      <c r="D6" s="84" t="s">
        <v>2</v>
      </c>
      <c r="E6" s="84" t="s">
        <v>20</v>
      </c>
      <c r="F6" s="84" t="s">
        <v>25</v>
      </c>
      <c r="G6" s="84" t="s">
        <v>2</v>
      </c>
      <c r="H6" s="84" t="s">
        <v>20</v>
      </c>
      <c r="I6" s="84" t="s">
        <v>25</v>
      </c>
    </row>
    <row r="7" spans="2:9" x14ac:dyDescent="0.25">
      <c r="B7" s="104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  <c r="I7" s="86">
        <v>8</v>
      </c>
    </row>
    <row r="8" spans="2:9" ht="15.75" x14ac:dyDescent="0.25">
      <c r="B8" s="87" t="s">
        <v>247</v>
      </c>
      <c r="C8" s="88" t="s">
        <v>506</v>
      </c>
      <c r="D8" s="89">
        <v>13744899</v>
      </c>
      <c r="E8" s="90">
        <f>D8/D$12*100</f>
        <v>42.868100668450992</v>
      </c>
      <c r="F8" s="101">
        <v>2</v>
      </c>
      <c r="G8" s="105">
        <v>13678058</v>
      </c>
      <c r="H8" s="90">
        <f>G8/G$12*100</f>
        <v>42.586385578202538</v>
      </c>
      <c r="I8" s="101">
        <v>2</v>
      </c>
    </row>
    <row r="9" spans="2:9" ht="15.75" x14ac:dyDescent="0.25">
      <c r="B9" s="87" t="s">
        <v>248</v>
      </c>
      <c r="C9" s="88" t="s">
        <v>507</v>
      </c>
      <c r="D9" s="89">
        <v>8673211</v>
      </c>
      <c r="E9" s="90">
        <f>D9/D$12*100</f>
        <v>27.050332073499888</v>
      </c>
      <c r="F9" s="101">
        <v>3</v>
      </c>
      <c r="G9" s="89">
        <v>8640867</v>
      </c>
      <c r="H9" s="90">
        <f>G9/G$12*100</f>
        <v>26.903182731932141</v>
      </c>
      <c r="I9" s="101">
        <v>3</v>
      </c>
    </row>
    <row r="10" spans="2:9" ht="15.75" x14ac:dyDescent="0.25">
      <c r="B10" s="87" t="s">
        <v>249</v>
      </c>
      <c r="C10" s="88" t="s">
        <v>508</v>
      </c>
      <c r="D10" s="89">
        <v>8845395</v>
      </c>
      <c r="E10" s="90">
        <f>D10/D$12*100</f>
        <v>27.587345917362732</v>
      </c>
      <c r="F10" s="101">
        <v>6</v>
      </c>
      <c r="G10" s="89">
        <v>8973040</v>
      </c>
      <c r="H10" s="90">
        <f>G10/G$12*100</f>
        <v>27.937397344610947</v>
      </c>
      <c r="I10" s="101">
        <v>6</v>
      </c>
    </row>
    <row r="11" spans="2:9" ht="15.75" x14ac:dyDescent="0.25">
      <c r="B11" s="87" t="s">
        <v>250</v>
      </c>
      <c r="C11" s="88" t="s">
        <v>509</v>
      </c>
      <c r="D11" s="89">
        <v>799728</v>
      </c>
      <c r="E11" s="90">
        <f>D11/D$12*100</f>
        <v>2.4942213406863867</v>
      </c>
      <c r="F11" s="101">
        <v>2</v>
      </c>
      <c r="G11" s="89">
        <v>826417</v>
      </c>
      <c r="H11" s="90">
        <f>G11/G$12*100</f>
        <v>2.5730343452543778</v>
      </c>
      <c r="I11" s="101">
        <v>2</v>
      </c>
    </row>
    <row r="12" spans="2:9" ht="20.100000000000001" customHeight="1" x14ac:dyDescent="0.25">
      <c r="B12" s="450" t="s">
        <v>5</v>
      </c>
      <c r="C12" s="450"/>
      <c r="D12" s="92">
        <f t="shared" ref="D12:I12" si="0">SUM(D8:D11)</f>
        <v>32063233</v>
      </c>
      <c r="E12" s="93">
        <f t="shared" si="0"/>
        <v>100</v>
      </c>
      <c r="F12" s="84">
        <f t="shared" si="0"/>
        <v>13</v>
      </c>
      <c r="G12" s="92">
        <f t="shared" si="0"/>
        <v>32118382</v>
      </c>
      <c r="H12" s="93">
        <f t="shared" si="0"/>
        <v>100</v>
      </c>
      <c r="I12" s="84">
        <f t="shared" si="0"/>
        <v>13</v>
      </c>
    </row>
    <row r="13" spans="2:9" ht="15.75" x14ac:dyDescent="0.25">
      <c r="C13" s="4"/>
      <c r="D13" s="4"/>
      <c r="E13" s="4"/>
      <c r="F13" s="4"/>
      <c r="G13" s="4"/>
      <c r="H13" s="4"/>
      <c r="I13" s="4"/>
    </row>
  </sheetData>
  <mergeCells count="6">
    <mergeCell ref="B4:I4"/>
    <mergeCell ref="B5:B6"/>
    <mergeCell ref="B12:C12"/>
    <mergeCell ref="C5:C6"/>
    <mergeCell ref="D5:F5"/>
    <mergeCell ref="G5:I5"/>
  </mergeCells>
  <pageMargins left="0.7" right="0.7" top="0.75" bottom="0.75" header="0.3" footer="0.3"/>
  <pageSetup orientation="portrait" r:id="rId1"/>
  <ignoredErrors>
    <ignoredError sqref="D12 F12:G12 I12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J16"/>
  <sheetViews>
    <sheetView workbookViewId="0"/>
  </sheetViews>
  <sheetFormatPr defaultRowHeight="15" x14ac:dyDescent="0.25"/>
  <cols>
    <col min="3" max="3" width="40.28515625" customWidth="1"/>
    <col min="4" max="4" width="18.85546875" customWidth="1"/>
    <col min="5" max="5" width="12.140625" customWidth="1"/>
    <col min="6" max="6" width="16.140625" customWidth="1"/>
    <col min="7" max="7" width="13" customWidth="1"/>
    <col min="8" max="8" width="14.140625" customWidth="1"/>
  </cols>
  <sheetData>
    <row r="2" spans="2:10" ht="15.75" x14ac:dyDescent="0.25">
      <c r="C2" s="4"/>
      <c r="D2" s="4"/>
      <c r="E2" s="4"/>
      <c r="F2" s="4"/>
      <c r="G2" s="4"/>
      <c r="H2" s="4"/>
    </row>
    <row r="3" spans="2:10" ht="16.5" thickBot="1" x14ac:dyDescent="0.3">
      <c r="B3" s="75"/>
      <c r="C3" s="82" t="s">
        <v>30</v>
      </c>
      <c r="D3" s="77"/>
      <c r="E3" s="77"/>
      <c r="F3" s="77"/>
      <c r="G3" s="77"/>
      <c r="H3" s="78" t="s">
        <v>263</v>
      </c>
    </row>
    <row r="4" spans="2:10" ht="24.95" customHeight="1" thickTop="1" x14ac:dyDescent="0.25">
      <c r="B4" s="454" t="s">
        <v>849</v>
      </c>
      <c r="C4" s="454"/>
      <c r="D4" s="454"/>
      <c r="E4" s="454"/>
      <c r="F4" s="454"/>
      <c r="G4" s="454"/>
      <c r="H4" s="454"/>
    </row>
    <row r="5" spans="2:10" ht="15.75" x14ac:dyDescent="0.25">
      <c r="B5" s="448" t="s">
        <v>100</v>
      </c>
      <c r="C5" s="450" t="s">
        <v>21</v>
      </c>
      <c r="D5" s="455" t="s">
        <v>601</v>
      </c>
      <c r="E5" s="455"/>
      <c r="F5" s="450" t="s">
        <v>602</v>
      </c>
      <c r="G5" s="450"/>
      <c r="H5" s="84" t="s">
        <v>1</v>
      </c>
    </row>
    <row r="6" spans="2:10" ht="15.75" x14ac:dyDescent="0.25">
      <c r="B6" s="448"/>
      <c r="C6" s="450"/>
      <c r="D6" s="84" t="s">
        <v>2</v>
      </c>
      <c r="E6" s="84" t="s">
        <v>20</v>
      </c>
      <c r="F6" s="84" t="s">
        <v>2</v>
      </c>
      <c r="G6" s="84" t="s">
        <v>20</v>
      </c>
      <c r="H6" s="84" t="s">
        <v>333</v>
      </c>
    </row>
    <row r="7" spans="2:10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0" ht="21" customHeight="1" x14ac:dyDescent="0.25">
      <c r="B8" s="87" t="s">
        <v>247</v>
      </c>
      <c r="C8" s="99" t="s">
        <v>527</v>
      </c>
      <c r="D8" s="89">
        <v>1101504</v>
      </c>
      <c r="E8" s="90">
        <f>D8/D$14*100</f>
        <v>11.647549703874152</v>
      </c>
      <c r="F8" s="105">
        <v>992856</v>
      </c>
      <c r="G8" s="100">
        <f>F8/F$14*100</f>
        <v>11.170675435587327</v>
      </c>
      <c r="H8" s="91">
        <f>F8/D8*100</f>
        <v>90.136395328568938</v>
      </c>
      <c r="J8" s="14"/>
    </row>
    <row r="9" spans="2:10" ht="27" customHeight="1" x14ac:dyDescent="0.25">
      <c r="B9" s="87" t="s">
        <v>248</v>
      </c>
      <c r="C9" s="99" t="s">
        <v>522</v>
      </c>
      <c r="D9" s="89">
        <v>5845628</v>
      </c>
      <c r="E9" s="90">
        <f>D9/D$14*100</f>
        <v>61.812978146569108</v>
      </c>
      <c r="F9" s="105">
        <v>5111963</v>
      </c>
      <c r="G9" s="100">
        <f>F9/F$14*100</f>
        <v>57.514966431920946</v>
      </c>
      <c r="H9" s="91">
        <f t="shared" ref="H9:H14" si="0">F9/D9*100</f>
        <v>87.449338206262865</v>
      </c>
      <c r="J9" s="14"/>
    </row>
    <row r="10" spans="2:10" ht="34.5" customHeight="1" x14ac:dyDescent="0.25">
      <c r="B10" s="87" t="s">
        <v>249</v>
      </c>
      <c r="C10" s="99" t="s">
        <v>523</v>
      </c>
      <c r="D10" s="89">
        <v>36133</v>
      </c>
      <c r="E10" s="90">
        <f>D10/D$14*100</f>
        <v>0.38207842499898748</v>
      </c>
      <c r="F10" s="105">
        <v>37789</v>
      </c>
      <c r="G10" s="100">
        <f>F10/F$14*100</f>
        <v>0.42516604022678972</v>
      </c>
      <c r="H10" s="91">
        <f t="shared" si="0"/>
        <v>104.58306810948442</v>
      </c>
      <c r="J10" s="14"/>
    </row>
    <row r="11" spans="2:10" ht="34.5" customHeight="1" x14ac:dyDescent="0.25">
      <c r="B11" s="87" t="s">
        <v>250</v>
      </c>
      <c r="C11" s="99" t="s">
        <v>524</v>
      </c>
      <c r="D11" s="89">
        <v>2472210</v>
      </c>
      <c r="E11" s="90">
        <f>D11/D$14*100</f>
        <v>26.141701576585032</v>
      </c>
      <c r="F11" s="105">
        <v>2743849</v>
      </c>
      <c r="G11" s="100">
        <f>F11/F$14*100</f>
        <v>30.871190407532268</v>
      </c>
      <c r="H11" s="91">
        <f t="shared" si="0"/>
        <v>110.98769926503007</v>
      </c>
      <c r="J11" s="14"/>
    </row>
    <row r="12" spans="2:10" ht="21" customHeight="1" x14ac:dyDescent="0.25">
      <c r="B12" s="87" t="s">
        <v>251</v>
      </c>
      <c r="C12" s="99" t="s">
        <v>525</v>
      </c>
      <c r="D12" s="89">
        <v>1</v>
      </c>
      <c r="E12" s="90">
        <f t="shared" ref="E12:E13" si="1">D12/D$14*100</f>
        <v>1.0574223701297636E-5</v>
      </c>
      <c r="F12" s="105">
        <v>1</v>
      </c>
      <c r="G12" s="100">
        <f t="shared" ref="G12:G13" si="2">F12/F$14*100</f>
        <v>1.1251052957918698E-5</v>
      </c>
      <c r="H12" s="91">
        <f t="shared" si="0"/>
        <v>100</v>
      </c>
      <c r="J12" s="14"/>
    </row>
    <row r="13" spans="2:10" ht="21" customHeight="1" x14ac:dyDescent="0.25">
      <c r="B13" s="87" t="s">
        <v>252</v>
      </c>
      <c r="C13" s="99" t="s">
        <v>526</v>
      </c>
      <c r="D13" s="89">
        <v>1483</v>
      </c>
      <c r="E13" s="90">
        <f t="shared" si="1"/>
        <v>1.5681573749024395E-2</v>
      </c>
      <c r="F13" s="105">
        <v>1599</v>
      </c>
      <c r="G13" s="100">
        <f t="shared" si="2"/>
        <v>1.7990433679711999E-2</v>
      </c>
      <c r="H13" s="91">
        <f t="shared" si="0"/>
        <v>107.82198246797033</v>
      </c>
      <c r="J13" s="14"/>
    </row>
    <row r="14" spans="2:10" ht="19.5" customHeight="1" x14ac:dyDescent="0.25">
      <c r="B14" s="450" t="s">
        <v>29</v>
      </c>
      <c r="C14" s="450"/>
      <c r="D14" s="92">
        <f>SUM(D8:D13)</f>
        <v>9456959</v>
      </c>
      <c r="E14" s="93">
        <f>SUM(E8:E13)</f>
        <v>100.00000000000001</v>
      </c>
      <c r="F14" s="106">
        <f>SUM(F8:F13)</f>
        <v>8888057</v>
      </c>
      <c r="G14" s="107">
        <f>SUM(G8:G13)</f>
        <v>100</v>
      </c>
      <c r="H14" s="93">
        <f t="shared" si="0"/>
        <v>93.984302987884377</v>
      </c>
      <c r="J14" s="14"/>
    </row>
    <row r="15" spans="2:10" ht="15.75" x14ac:dyDescent="0.25">
      <c r="C15" s="4"/>
      <c r="D15" s="4"/>
      <c r="E15" s="4"/>
      <c r="F15" s="4"/>
      <c r="G15" s="4"/>
      <c r="H15" s="4"/>
    </row>
    <row r="16" spans="2:10" x14ac:dyDescent="0.25">
      <c r="F16" s="14"/>
    </row>
  </sheetData>
  <mergeCells count="6">
    <mergeCell ref="B5:B6"/>
    <mergeCell ref="B4:H4"/>
    <mergeCell ref="B14:C14"/>
    <mergeCell ref="C5:C6"/>
    <mergeCell ref="F5:G5"/>
    <mergeCell ref="D5:E5"/>
  </mergeCells>
  <pageMargins left="0.7" right="0.7" top="0.75" bottom="0.75" header="0.3" footer="0.3"/>
  <pageSetup orientation="portrait" r:id="rId1"/>
  <ignoredErrors>
    <ignoredError sqref="D14 F14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N19"/>
  <sheetViews>
    <sheetView workbookViewId="0"/>
  </sheetViews>
  <sheetFormatPr defaultRowHeight="15" x14ac:dyDescent="0.25"/>
  <cols>
    <col min="3" max="3" width="26.85546875" customWidth="1"/>
    <col min="4" max="4" width="16" customWidth="1"/>
    <col min="5" max="5" width="13.140625" customWidth="1"/>
    <col min="6" max="6" width="17.28515625" customWidth="1"/>
    <col min="7" max="7" width="13.85546875" customWidth="1"/>
    <col min="8" max="8" width="14.85546875" customWidth="1"/>
  </cols>
  <sheetData>
    <row r="2" spans="2:14" ht="15.75" x14ac:dyDescent="0.25">
      <c r="C2" s="4"/>
      <c r="D2" s="4"/>
      <c r="E2" s="4"/>
      <c r="F2" s="4"/>
      <c r="G2" s="4"/>
      <c r="H2" s="4"/>
    </row>
    <row r="3" spans="2:14" ht="16.5" thickBot="1" x14ac:dyDescent="0.3">
      <c r="B3" s="75"/>
      <c r="C3" s="76" t="s">
        <v>35</v>
      </c>
      <c r="D3" s="77"/>
      <c r="E3" s="77"/>
      <c r="F3" s="77"/>
      <c r="G3" s="77"/>
      <c r="H3" s="78" t="s">
        <v>263</v>
      </c>
    </row>
    <row r="4" spans="2:14" ht="24.95" customHeight="1" thickTop="1" x14ac:dyDescent="0.25">
      <c r="B4" s="454" t="s">
        <v>850</v>
      </c>
      <c r="C4" s="454"/>
      <c r="D4" s="454"/>
      <c r="E4" s="454"/>
      <c r="F4" s="454"/>
      <c r="G4" s="454"/>
      <c r="H4" s="454"/>
    </row>
    <row r="5" spans="2:14" ht="15.75" x14ac:dyDescent="0.25">
      <c r="B5" s="448" t="s">
        <v>100</v>
      </c>
      <c r="C5" s="450" t="s">
        <v>31</v>
      </c>
      <c r="D5" s="450" t="s">
        <v>601</v>
      </c>
      <c r="E5" s="450"/>
      <c r="F5" s="450" t="s">
        <v>602</v>
      </c>
      <c r="G5" s="450"/>
      <c r="H5" s="84" t="s">
        <v>1</v>
      </c>
    </row>
    <row r="6" spans="2:14" ht="15.75" x14ac:dyDescent="0.25">
      <c r="B6" s="448"/>
      <c r="C6" s="450"/>
      <c r="D6" s="450" t="s">
        <v>2</v>
      </c>
      <c r="E6" s="84" t="s">
        <v>20</v>
      </c>
      <c r="F6" s="450" t="s">
        <v>2</v>
      </c>
      <c r="G6" s="84" t="s">
        <v>20</v>
      </c>
      <c r="H6" s="456" t="s">
        <v>333</v>
      </c>
    </row>
    <row r="7" spans="2:14" ht="15.75" hidden="1" x14ac:dyDescent="0.25">
      <c r="B7" s="108"/>
      <c r="C7" s="450"/>
      <c r="D7" s="450"/>
      <c r="E7" s="84" t="s">
        <v>32</v>
      </c>
      <c r="F7" s="450"/>
      <c r="G7" s="84" t="s">
        <v>32</v>
      </c>
      <c r="H7" s="456"/>
    </row>
    <row r="8" spans="2:14" x14ac:dyDescent="0.25">
      <c r="B8" s="104">
        <v>1</v>
      </c>
      <c r="C8" s="86">
        <v>2</v>
      </c>
      <c r="D8" s="86">
        <v>3</v>
      </c>
      <c r="E8" s="86">
        <v>4</v>
      </c>
      <c r="F8" s="86">
        <v>5</v>
      </c>
      <c r="G8" s="86">
        <v>6</v>
      </c>
      <c r="H8" s="86">
        <v>7</v>
      </c>
    </row>
    <row r="9" spans="2:14" ht="23.1" customHeight="1" x14ac:dyDescent="0.25">
      <c r="B9" s="87" t="s">
        <v>247</v>
      </c>
      <c r="C9" s="103" t="s">
        <v>33</v>
      </c>
      <c r="D9" s="89">
        <v>34463</v>
      </c>
      <c r="E9" s="90">
        <f>D9/D$14*100</f>
        <v>1.1084825628613471</v>
      </c>
      <c r="F9" s="89">
        <v>22006</v>
      </c>
      <c r="G9" s="90">
        <f>F9/F$14*100</f>
        <v>0.69735015812856893</v>
      </c>
      <c r="H9" s="91">
        <f>F9/D9*100</f>
        <v>63.853988335316139</v>
      </c>
      <c r="J9" s="14"/>
      <c r="L9" s="14"/>
      <c r="N9" s="14"/>
    </row>
    <row r="10" spans="2:14" ht="23.1" customHeight="1" x14ac:dyDescent="0.25">
      <c r="B10" s="87" t="s">
        <v>248</v>
      </c>
      <c r="C10" s="103" t="s">
        <v>34</v>
      </c>
      <c r="D10" s="89">
        <f>D11+D12+D13</f>
        <v>3074562</v>
      </c>
      <c r="E10" s="90">
        <f t="shared" ref="E10:E13" si="0">D10/D$14*100</f>
        <v>98.89151743713866</v>
      </c>
      <c r="F10" s="89">
        <f>F11+F12+F13</f>
        <v>3133654</v>
      </c>
      <c r="G10" s="90">
        <f t="shared" ref="G10:G13" si="1">F10/F$14*100</f>
        <v>99.302649841871428</v>
      </c>
      <c r="H10" s="91">
        <f t="shared" ref="H10:H14" si="2">F10/D10*100</f>
        <v>101.92196481970439</v>
      </c>
      <c r="J10" s="14"/>
      <c r="L10" s="14"/>
      <c r="N10" s="14"/>
    </row>
    <row r="11" spans="2:14" ht="18.75" customHeight="1" x14ac:dyDescent="0.25">
      <c r="B11" s="87" t="s">
        <v>277</v>
      </c>
      <c r="C11" s="103" t="s">
        <v>376</v>
      </c>
      <c r="D11" s="89">
        <v>1410969</v>
      </c>
      <c r="E11" s="90">
        <f t="shared" si="0"/>
        <v>45.383005926295219</v>
      </c>
      <c r="F11" s="89">
        <v>1437558</v>
      </c>
      <c r="G11" s="90">
        <f t="shared" si="1"/>
        <v>45.554907689675062</v>
      </c>
      <c r="H11" s="91">
        <f t="shared" si="2"/>
        <v>101.88444962291871</v>
      </c>
      <c r="J11" s="14"/>
      <c r="L11" s="14"/>
      <c r="N11" s="14"/>
    </row>
    <row r="12" spans="2:14" ht="23.25" customHeight="1" x14ac:dyDescent="0.25">
      <c r="B12" s="87" t="s">
        <v>278</v>
      </c>
      <c r="C12" s="103" t="s">
        <v>377</v>
      </c>
      <c r="D12" s="89">
        <v>1473047</v>
      </c>
      <c r="E12" s="90">
        <f t="shared" si="0"/>
        <v>47.379709072780052</v>
      </c>
      <c r="F12" s="89">
        <v>1468106</v>
      </c>
      <c r="G12" s="90">
        <f t="shared" si="1"/>
        <v>46.52294607150327</v>
      </c>
      <c r="H12" s="91">
        <f t="shared" si="2"/>
        <v>99.664572820826493</v>
      </c>
      <c r="J12" s="14"/>
      <c r="L12" s="14"/>
      <c r="N12" s="14"/>
    </row>
    <row r="13" spans="2:14" ht="24.75" customHeight="1" x14ac:dyDescent="0.25">
      <c r="B13" s="87" t="s">
        <v>279</v>
      </c>
      <c r="C13" s="109" t="s">
        <v>465</v>
      </c>
      <c r="D13" s="89">
        <v>190546</v>
      </c>
      <c r="E13" s="90">
        <f t="shared" si="0"/>
        <v>6.1288024380633797</v>
      </c>
      <c r="F13" s="89">
        <v>227990</v>
      </c>
      <c r="G13" s="90">
        <f t="shared" si="1"/>
        <v>7.2247960806931033</v>
      </c>
      <c r="H13" s="91">
        <f t="shared" si="2"/>
        <v>119.65089794590283</v>
      </c>
      <c r="J13" s="14"/>
      <c r="L13" s="14"/>
      <c r="N13" s="14"/>
    </row>
    <row r="14" spans="2:14" ht="21" customHeight="1" x14ac:dyDescent="0.25">
      <c r="B14" s="450" t="s">
        <v>29</v>
      </c>
      <c r="C14" s="450"/>
      <c r="D14" s="92">
        <f t="shared" ref="D14:F14" si="3">D9+D10</f>
        <v>3109025</v>
      </c>
      <c r="E14" s="84">
        <f t="shared" si="3"/>
        <v>100</v>
      </c>
      <c r="F14" s="92">
        <f t="shared" si="3"/>
        <v>3155660</v>
      </c>
      <c r="G14" s="93">
        <f>G9+G10</f>
        <v>100</v>
      </c>
      <c r="H14" s="93">
        <f t="shared" si="2"/>
        <v>101.49998793834081</v>
      </c>
      <c r="I14" s="14"/>
      <c r="J14" s="14"/>
      <c r="L14" s="14"/>
      <c r="N14" s="14"/>
    </row>
    <row r="15" spans="2:14" ht="12.75" customHeight="1" x14ac:dyDescent="0.25">
      <c r="B15" s="79"/>
      <c r="C15" s="79"/>
      <c r="D15" s="80"/>
      <c r="E15" s="79"/>
      <c r="F15" s="80"/>
      <c r="G15" s="79"/>
      <c r="H15" s="81"/>
      <c r="I15" s="14"/>
      <c r="J15" s="14"/>
    </row>
    <row r="16" spans="2:14" ht="15.75" x14ac:dyDescent="0.25">
      <c r="B16" s="63" t="s">
        <v>1389</v>
      </c>
      <c r="C16" s="63"/>
      <c r="D16" s="74"/>
      <c r="E16" s="74"/>
      <c r="F16" s="74"/>
      <c r="G16" s="74"/>
      <c r="H16" s="74"/>
    </row>
    <row r="17" spans="2:8" x14ac:dyDescent="0.25">
      <c r="B17" s="41"/>
      <c r="C17" s="41"/>
      <c r="D17" s="41"/>
      <c r="E17" s="41"/>
      <c r="F17" s="41"/>
      <c r="G17" s="41"/>
      <c r="H17" s="41"/>
    </row>
    <row r="18" spans="2:8" x14ac:dyDescent="0.25">
      <c r="B18" s="263"/>
    </row>
    <row r="19" spans="2:8" x14ac:dyDescent="0.25">
      <c r="D19" s="14"/>
    </row>
  </sheetData>
  <mergeCells count="9">
    <mergeCell ref="B5:B6"/>
    <mergeCell ref="B4:H4"/>
    <mergeCell ref="B14:C14"/>
    <mergeCell ref="H6:H7"/>
    <mergeCell ref="C5:C7"/>
    <mergeCell ref="D5:E5"/>
    <mergeCell ref="F5:G5"/>
    <mergeCell ref="D6:D7"/>
    <mergeCell ref="F6:F7"/>
  </mergeCells>
  <pageMargins left="0.7" right="0.7" top="0.75" bottom="0.75" header="0.3" footer="0.3"/>
  <pageSetup orientation="portrait" r:id="rId1"/>
  <ignoredErrors>
    <ignoredError sqref="I9:I13" numberStoredAsText="1"/>
    <ignoredError sqref="E10:F10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E7FA-6E18-4973-BB93-918663E83A14}">
  <dimension ref="B3:E13"/>
  <sheetViews>
    <sheetView workbookViewId="0"/>
  </sheetViews>
  <sheetFormatPr defaultRowHeight="15" x14ac:dyDescent="0.25"/>
  <cols>
    <col min="3" max="3" width="27.42578125" customWidth="1"/>
    <col min="4" max="4" width="27" customWidth="1"/>
    <col min="5" max="5" width="26.28515625" customWidth="1"/>
  </cols>
  <sheetData>
    <row r="3" spans="2:5" ht="16.5" thickBot="1" x14ac:dyDescent="0.3">
      <c r="B3" s="47"/>
      <c r="C3" s="68"/>
      <c r="D3" s="68"/>
      <c r="E3" s="143" t="s">
        <v>380</v>
      </c>
    </row>
    <row r="4" spans="2:5" ht="21.75" customHeight="1" thickTop="1" x14ac:dyDescent="0.25">
      <c r="B4" s="449" t="s">
        <v>851</v>
      </c>
      <c r="C4" s="449"/>
      <c r="D4" s="449"/>
      <c r="E4" s="449"/>
    </row>
    <row r="5" spans="2:5" ht="15.75" x14ac:dyDescent="0.25">
      <c r="B5" s="170" t="s">
        <v>100</v>
      </c>
      <c r="C5" s="170" t="s">
        <v>745</v>
      </c>
      <c r="D5" s="327" t="s">
        <v>739</v>
      </c>
      <c r="E5" s="327" t="s">
        <v>740</v>
      </c>
    </row>
    <row r="6" spans="2:5" x14ac:dyDescent="0.25">
      <c r="B6" s="104">
        <v>1</v>
      </c>
      <c r="C6" s="104">
        <v>2</v>
      </c>
      <c r="D6" s="328" t="s">
        <v>742</v>
      </c>
      <c r="E6" s="328" t="s">
        <v>743</v>
      </c>
    </row>
    <row r="7" spans="2:5" ht="15.75" x14ac:dyDescent="0.25">
      <c r="B7" s="87" t="s">
        <v>247</v>
      </c>
      <c r="C7" s="310" t="s">
        <v>746</v>
      </c>
      <c r="D7" s="201">
        <v>46.32</v>
      </c>
      <c r="E7" s="309">
        <v>46.495329321929297</v>
      </c>
    </row>
    <row r="8" spans="2:5" ht="15.75" x14ac:dyDescent="0.25">
      <c r="B8" s="98" t="s">
        <v>248</v>
      </c>
      <c r="C8" s="310" t="s">
        <v>622</v>
      </c>
      <c r="D8" s="201">
        <v>8.1999999999999993</v>
      </c>
      <c r="E8" s="309">
        <v>5.65370616427081</v>
      </c>
    </row>
    <row r="9" spans="2:5" ht="15.75" x14ac:dyDescent="0.25">
      <c r="B9" s="98" t="s">
        <v>249</v>
      </c>
      <c r="C9" s="310" t="s">
        <v>747</v>
      </c>
      <c r="D9" s="201">
        <v>8.8000000000000007</v>
      </c>
      <c r="E9" s="309">
        <v>9.24282949935019</v>
      </c>
    </row>
    <row r="10" spans="2:5" ht="15.75" x14ac:dyDescent="0.25">
      <c r="B10" s="98" t="s">
        <v>250</v>
      </c>
      <c r="C10" s="310" t="s">
        <v>624</v>
      </c>
      <c r="D10" s="201">
        <v>5.9</v>
      </c>
      <c r="E10" s="309">
        <v>6.6745251262801801</v>
      </c>
    </row>
    <row r="11" spans="2:5" ht="15.75" x14ac:dyDescent="0.25">
      <c r="B11" s="98" t="s">
        <v>251</v>
      </c>
      <c r="C11" s="310" t="s">
        <v>1394</v>
      </c>
      <c r="D11" s="201">
        <v>4.5999999999999996</v>
      </c>
      <c r="E11" s="309">
        <v>5.6</v>
      </c>
    </row>
    <row r="12" spans="2:5" ht="15.75" x14ac:dyDescent="0.25">
      <c r="B12" s="98" t="s">
        <v>252</v>
      </c>
      <c r="C12" s="310" t="s">
        <v>1395</v>
      </c>
      <c r="D12" s="201">
        <v>4</v>
      </c>
      <c r="E12" s="309">
        <v>5.4</v>
      </c>
    </row>
    <row r="13" spans="2:5" ht="15.75" x14ac:dyDescent="0.25">
      <c r="B13" s="98" t="s">
        <v>253</v>
      </c>
      <c r="C13" s="310" t="s">
        <v>748</v>
      </c>
      <c r="D13" s="201">
        <v>22.2</v>
      </c>
      <c r="E13" s="309">
        <v>20.9</v>
      </c>
    </row>
  </sheetData>
  <mergeCells count="1">
    <mergeCell ref="B4:E4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J14"/>
  <sheetViews>
    <sheetView workbookViewId="0"/>
  </sheetViews>
  <sheetFormatPr defaultRowHeight="15" x14ac:dyDescent="0.25"/>
  <cols>
    <col min="3" max="3" width="41.42578125" customWidth="1"/>
    <col min="4" max="4" width="15.140625" customWidth="1"/>
    <col min="5" max="5" width="11.85546875" customWidth="1"/>
    <col min="6" max="6" width="14.85546875" customWidth="1"/>
    <col min="7" max="8" width="13.140625" customWidth="1"/>
  </cols>
  <sheetData>
    <row r="2" spans="2:10" x14ac:dyDescent="0.25">
      <c r="J2" s="41"/>
    </row>
    <row r="3" spans="2:10" ht="16.5" thickBot="1" x14ac:dyDescent="0.3">
      <c r="B3" s="47"/>
      <c r="C3" s="47"/>
      <c r="D3" s="47"/>
      <c r="E3" s="47"/>
      <c r="F3" s="47"/>
      <c r="G3" s="47"/>
      <c r="H3" s="113" t="s">
        <v>262</v>
      </c>
    </row>
    <row r="4" spans="2:10" ht="24.95" customHeight="1" thickTop="1" x14ac:dyDescent="0.25">
      <c r="B4" s="454" t="s">
        <v>852</v>
      </c>
      <c r="C4" s="454"/>
      <c r="D4" s="454"/>
      <c r="E4" s="454"/>
      <c r="F4" s="454"/>
      <c r="G4" s="454"/>
      <c r="H4" s="454"/>
    </row>
    <row r="5" spans="2:10" ht="15.75" x14ac:dyDescent="0.25">
      <c r="B5" s="448" t="s">
        <v>100</v>
      </c>
      <c r="C5" s="450" t="s">
        <v>31</v>
      </c>
      <c r="D5" s="450" t="s">
        <v>601</v>
      </c>
      <c r="E5" s="450"/>
      <c r="F5" s="450" t="s">
        <v>602</v>
      </c>
      <c r="G5" s="450"/>
      <c r="H5" s="84" t="s">
        <v>1</v>
      </c>
    </row>
    <row r="6" spans="2:10" ht="15.75" x14ac:dyDescent="0.25">
      <c r="B6" s="448"/>
      <c r="C6" s="450"/>
      <c r="D6" s="84" t="s">
        <v>2</v>
      </c>
      <c r="E6" s="84" t="s">
        <v>20</v>
      </c>
      <c r="F6" s="84" t="s">
        <v>2</v>
      </c>
      <c r="G6" s="84" t="s">
        <v>20</v>
      </c>
      <c r="H6" s="112" t="s">
        <v>333</v>
      </c>
    </row>
    <row r="7" spans="2:10" s="34" customFormat="1" ht="12.75" x14ac:dyDescent="0.2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0" ht="15.75" x14ac:dyDescent="0.25">
      <c r="B8" s="98" t="s">
        <v>247</v>
      </c>
      <c r="C8" s="88" t="s">
        <v>36</v>
      </c>
      <c r="D8" s="89">
        <f>D9+D10</f>
        <v>1154255</v>
      </c>
      <c r="E8" s="90">
        <f t="shared" ref="E8:G8" si="0">E9+E10</f>
        <v>81.815404549462585</v>
      </c>
      <c r="F8" s="89">
        <f>F9+F10</f>
        <v>1181039</v>
      </c>
      <c r="G8" s="90">
        <f t="shared" si="0"/>
        <v>82.165350742629187</v>
      </c>
      <c r="H8" s="91">
        <f>F8/D8*100</f>
        <v>102.32045778445837</v>
      </c>
    </row>
    <row r="9" spans="2:10" ht="15.75" x14ac:dyDescent="0.25">
      <c r="B9" s="98" t="s">
        <v>58</v>
      </c>
      <c r="C9" s="88" t="s">
        <v>38</v>
      </c>
      <c r="D9" s="89">
        <v>106725</v>
      </c>
      <c r="E9" s="90">
        <f t="shared" ref="E9:E13" si="1">D9/D$14*100</f>
        <v>7.5648353704696039</v>
      </c>
      <c r="F9" s="89">
        <v>34676</v>
      </c>
      <c r="G9" s="90">
        <f t="shared" ref="G9:G13" si="2">F9/F$14*100</f>
        <v>2.412423046445892</v>
      </c>
      <c r="H9" s="91">
        <f t="shared" ref="H9:H14" si="3">F9/D9*100</f>
        <v>32.490981494495195</v>
      </c>
    </row>
    <row r="10" spans="2:10" ht="15.75" x14ac:dyDescent="0.25">
      <c r="B10" s="98" t="s">
        <v>88</v>
      </c>
      <c r="C10" s="88" t="s">
        <v>39</v>
      </c>
      <c r="D10" s="89">
        <v>1047530</v>
      </c>
      <c r="E10" s="90">
        <f t="shared" si="1"/>
        <v>74.250569178992976</v>
      </c>
      <c r="F10" s="89">
        <v>1146363</v>
      </c>
      <c r="G10" s="90">
        <f t="shared" si="2"/>
        <v>79.752927696183292</v>
      </c>
      <c r="H10" s="91">
        <f t="shared" si="3"/>
        <v>109.4348610540987</v>
      </c>
    </row>
    <row r="11" spans="2:10" ht="15.75" x14ac:dyDescent="0.25">
      <c r="B11" s="98" t="s">
        <v>248</v>
      </c>
      <c r="C11" s="88" t="s">
        <v>37</v>
      </c>
      <c r="D11" s="89">
        <f>D12+D13</f>
        <v>256549</v>
      </c>
      <c r="E11" s="90">
        <f t="shared" ref="E11:G11" si="4">E12+E13</f>
        <v>18.184595450537426</v>
      </c>
      <c r="F11" s="89">
        <f>F12+F13</f>
        <v>256354</v>
      </c>
      <c r="G11" s="90">
        <f t="shared" si="4"/>
        <v>17.83464925737081</v>
      </c>
      <c r="H11" s="91">
        <f t="shared" si="3"/>
        <v>99.923991128400431</v>
      </c>
    </row>
    <row r="12" spans="2:10" ht="15.75" x14ac:dyDescent="0.25">
      <c r="B12" s="98" t="s">
        <v>277</v>
      </c>
      <c r="C12" s="88" t="s">
        <v>38</v>
      </c>
      <c r="D12" s="89">
        <v>0</v>
      </c>
      <c r="E12" s="90">
        <f t="shared" si="1"/>
        <v>0</v>
      </c>
      <c r="F12" s="89">
        <v>0</v>
      </c>
      <c r="G12" s="90">
        <f t="shared" si="2"/>
        <v>0</v>
      </c>
      <c r="H12" s="91" t="s">
        <v>80</v>
      </c>
    </row>
    <row r="13" spans="2:10" ht="15.75" x14ac:dyDescent="0.25">
      <c r="B13" s="98" t="s">
        <v>278</v>
      </c>
      <c r="C13" s="88" t="s">
        <v>39</v>
      </c>
      <c r="D13" s="89">
        <v>256549</v>
      </c>
      <c r="E13" s="90">
        <f t="shared" si="1"/>
        <v>18.184595450537426</v>
      </c>
      <c r="F13" s="89">
        <v>256354</v>
      </c>
      <c r="G13" s="90">
        <f t="shared" si="2"/>
        <v>17.83464925737081</v>
      </c>
      <c r="H13" s="91">
        <f t="shared" si="3"/>
        <v>99.923991128400431</v>
      </c>
    </row>
    <row r="14" spans="2:10" ht="15.75" x14ac:dyDescent="0.25">
      <c r="B14" s="450" t="s">
        <v>18</v>
      </c>
      <c r="C14" s="450"/>
      <c r="D14" s="92">
        <f t="shared" ref="D14:G14" si="5">D8+D11</f>
        <v>1410804</v>
      </c>
      <c r="E14" s="84">
        <f t="shared" si="5"/>
        <v>100.00000000000001</v>
      </c>
      <c r="F14" s="92">
        <f>F8+F11</f>
        <v>1437393</v>
      </c>
      <c r="G14" s="84">
        <f t="shared" si="5"/>
        <v>100</v>
      </c>
      <c r="H14" s="93">
        <f t="shared" si="3"/>
        <v>101.88467001794722</v>
      </c>
      <c r="J14" s="14"/>
    </row>
  </sheetData>
  <mergeCells count="6">
    <mergeCell ref="B4:H4"/>
    <mergeCell ref="B5:B6"/>
    <mergeCell ref="B14:C14"/>
    <mergeCell ref="D5:E5"/>
    <mergeCell ref="F5:G5"/>
    <mergeCell ref="C5:C6"/>
  </mergeCells>
  <pageMargins left="0.7" right="0.7" top="0.75" bottom="0.75" header="0.3" footer="0.3"/>
  <pageSetup orientation="portrait" r:id="rId1"/>
  <ignoredErrors>
    <ignoredError sqref="E11 G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O22"/>
  <sheetViews>
    <sheetView workbookViewId="0"/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63"/>
    </row>
    <row r="4" spans="2:15" ht="15.75" thickBot="1" x14ac:dyDescent="0.3">
      <c r="B4" s="47"/>
      <c r="C4" s="47"/>
      <c r="D4" s="47"/>
      <c r="E4" s="47"/>
      <c r="F4" s="47"/>
      <c r="G4" s="47"/>
    </row>
    <row r="5" spans="2:15" ht="24.95" customHeight="1" thickTop="1" x14ac:dyDescent="0.25">
      <c r="B5" s="442" t="s">
        <v>518</v>
      </c>
      <c r="C5" s="442"/>
      <c r="D5" s="442"/>
      <c r="E5" s="442"/>
      <c r="F5" s="442"/>
      <c r="G5" s="442"/>
    </row>
    <row r="6" spans="2:15" ht="46.5" customHeight="1" x14ac:dyDescent="0.25">
      <c r="B6" s="49" t="s">
        <v>100</v>
      </c>
      <c r="C6" s="50" t="s">
        <v>56</v>
      </c>
      <c r="D6" s="50" t="s">
        <v>334</v>
      </c>
      <c r="E6" s="50" t="s">
        <v>244</v>
      </c>
      <c r="F6" s="50" t="s">
        <v>245</v>
      </c>
      <c r="G6" s="50" t="s">
        <v>246</v>
      </c>
    </row>
    <row r="7" spans="2:15" ht="15" customHeight="1" x14ac:dyDescent="0.25">
      <c r="B7" s="444" t="s">
        <v>601</v>
      </c>
      <c r="C7" s="444"/>
      <c r="D7" s="51"/>
      <c r="E7" s="51"/>
      <c r="F7" s="51"/>
      <c r="G7" s="51"/>
    </row>
    <row r="8" spans="2:15" ht="15.75" x14ac:dyDescent="0.25">
      <c r="B8" s="52" t="s">
        <v>247</v>
      </c>
      <c r="C8" s="53" t="s">
        <v>423</v>
      </c>
      <c r="D8" s="54">
        <v>391</v>
      </c>
      <c r="E8" s="54">
        <v>114</v>
      </c>
      <c r="F8" s="55">
        <v>26896</v>
      </c>
      <c r="G8" s="55">
        <v>1326</v>
      </c>
    </row>
    <row r="9" spans="2:15" ht="15.75" x14ac:dyDescent="0.25">
      <c r="B9" s="52" t="s">
        <v>443</v>
      </c>
      <c r="C9" s="53" t="s">
        <v>424</v>
      </c>
      <c r="D9" s="54">
        <v>19</v>
      </c>
      <c r="E9" s="54">
        <v>11</v>
      </c>
      <c r="F9" s="54">
        <v>516</v>
      </c>
      <c r="G9" s="54">
        <v>43</v>
      </c>
      <c r="O9" s="14"/>
    </row>
    <row r="10" spans="2:15" ht="15.75" x14ac:dyDescent="0.25">
      <c r="B10" s="443" t="s">
        <v>18</v>
      </c>
      <c r="C10" s="443"/>
      <c r="D10" s="56">
        <f>D8+D9</f>
        <v>410</v>
      </c>
      <c r="E10" s="56">
        <f t="shared" ref="E10:G10" si="0">E8+E9</f>
        <v>125</v>
      </c>
      <c r="F10" s="56">
        <f t="shared" si="0"/>
        <v>27412</v>
      </c>
      <c r="G10" s="56">
        <f t="shared" si="0"/>
        <v>1369</v>
      </c>
      <c r="M10" s="14"/>
      <c r="N10" s="14"/>
    </row>
    <row r="11" spans="2:15" ht="15" customHeight="1" x14ac:dyDescent="0.25">
      <c r="B11" s="444" t="s">
        <v>602</v>
      </c>
      <c r="C11" s="444"/>
      <c r="D11" s="169"/>
      <c r="E11" s="169"/>
      <c r="F11" s="169"/>
      <c r="G11" s="169"/>
      <c r="M11" s="14"/>
      <c r="O11" s="14"/>
    </row>
    <row r="12" spans="2:15" ht="18.75" x14ac:dyDescent="0.3">
      <c r="B12" s="52" t="s">
        <v>247</v>
      </c>
      <c r="C12" s="53" t="s">
        <v>423</v>
      </c>
      <c r="D12" s="55">
        <v>390</v>
      </c>
      <c r="E12" s="55">
        <v>113</v>
      </c>
      <c r="F12" s="55">
        <v>26352</v>
      </c>
      <c r="G12" s="55">
        <v>1329</v>
      </c>
      <c r="J12" s="283"/>
      <c r="M12" s="14"/>
      <c r="N12" s="14"/>
    </row>
    <row r="13" spans="2:15" ht="18.75" x14ac:dyDescent="0.3">
      <c r="B13" s="52" t="s">
        <v>248</v>
      </c>
      <c r="C13" s="53" t="s">
        <v>424</v>
      </c>
      <c r="D13" s="55">
        <v>19</v>
      </c>
      <c r="E13" s="55">
        <v>11</v>
      </c>
      <c r="F13" s="55">
        <v>509</v>
      </c>
      <c r="G13" s="55">
        <v>45</v>
      </c>
      <c r="J13" s="283"/>
      <c r="M13" s="14"/>
      <c r="O13" s="14"/>
    </row>
    <row r="14" spans="2:15" ht="15.75" x14ac:dyDescent="0.25">
      <c r="B14" s="443" t="s">
        <v>18</v>
      </c>
      <c r="C14" s="443"/>
      <c r="D14" s="56">
        <f>D12+D13</f>
        <v>409</v>
      </c>
      <c r="E14" s="56">
        <f t="shared" ref="E14:G14" si="1">E12+E13</f>
        <v>124</v>
      </c>
      <c r="F14" s="56">
        <f t="shared" si="1"/>
        <v>26861</v>
      </c>
      <c r="G14" s="56">
        <f t="shared" si="1"/>
        <v>1374</v>
      </c>
      <c r="O14" s="14"/>
    </row>
    <row r="15" spans="2:15" x14ac:dyDescent="0.25">
      <c r="D15" s="14"/>
      <c r="E15" s="14"/>
      <c r="F15" s="14"/>
      <c r="G15" s="14"/>
      <c r="N15" s="14"/>
    </row>
    <row r="16" spans="2:15" x14ac:dyDescent="0.25">
      <c r="M16" s="14"/>
      <c r="O16" s="14"/>
    </row>
    <row r="17" spans="6:15" x14ac:dyDescent="0.25">
      <c r="F17" s="14"/>
      <c r="G17" s="14"/>
      <c r="N17" s="14"/>
      <c r="O17" s="14"/>
    </row>
    <row r="18" spans="6:15" x14ac:dyDescent="0.25">
      <c r="M18" s="14"/>
      <c r="O18" s="14"/>
    </row>
    <row r="21" spans="6:15" x14ac:dyDescent="0.25">
      <c r="L21" s="302"/>
      <c r="M21" s="302"/>
      <c r="N21" s="303"/>
      <c r="O21" s="302"/>
    </row>
    <row r="22" spans="6:15" x14ac:dyDescent="0.25">
      <c r="O22" s="14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N22"/>
  <sheetViews>
    <sheetView workbookViewId="0">
      <selection activeCell="M27" sqref="M27"/>
    </sheetView>
  </sheetViews>
  <sheetFormatPr defaultRowHeight="15" x14ac:dyDescent="0.25"/>
  <cols>
    <col min="2" max="2" width="7" customWidth="1"/>
    <col min="3" max="3" width="25.5703125" customWidth="1"/>
    <col min="4" max="4" width="15" customWidth="1"/>
    <col min="5" max="5" width="12" customWidth="1"/>
    <col min="6" max="6" width="15.140625" customWidth="1"/>
    <col min="7" max="7" width="11.140625" customWidth="1"/>
    <col min="8" max="8" width="16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2" spans="2:14" x14ac:dyDescent="0.25">
      <c r="J2" s="41"/>
    </row>
    <row r="3" spans="2:14" ht="16.5" thickBot="1" x14ac:dyDescent="0.3">
      <c r="B3" s="47"/>
      <c r="C3" s="114" t="s">
        <v>47</v>
      </c>
      <c r="D3" s="68"/>
      <c r="E3" s="68"/>
      <c r="F3" s="68"/>
      <c r="G3" s="68"/>
      <c r="H3" s="71" t="s">
        <v>263</v>
      </c>
    </row>
    <row r="4" spans="2:14" ht="24.95" customHeight="1" thickTop="1" x14ac:dyDescent="0.25">
      <c r="B4" s="454" t="s">
        <v>1310</v>
      </c>
      <c r="C4" s="454"/>
      <c r="D4" s="454"/>
      <c r="E4" s="454"/>
      <c r="F4" s="454"/>
      <c r="G4" s="454"/>
      <c r="H4" s="454"/>
    </row>
    <row r="5" spans="2:14" ht="15.75" x14ac:dyDescent="0.25">
      <c r="B5" s="448" t="s">
        <v>100</v>
      </c>
      <c r="C5" s="450" t="s">
        <v>40</v>
      </c>
      <c r="D5" s="450" t="s">
        <v>601</v>
      </c>
      <c r="E5" s="450"/>
      <c r="F5" s="450" t="s">
        <v>602</v>
      </c>
      <c r="G5" s="450"/>
      <c r="H5" s="84" t="s">
        <v>1</v>
      </c>
    </row>
    <row r="6" spans="2:14" ht="15.75" x14ac:dyDescent="0.25">
      <c r="B6" s="448"/>
      <c r="C6" s="450"/>
      <c r="D6" s="84" t="s">
        <v>2</v>
      </c>
      <c r="E6" s="84" t="s">
        <v>20</v>
      </c>
      <c r="F6" s="84" t="s">
        <v>2</v>
      </c>
      <c r="G6" s="84" t="s">
        <v>20</v>
      </c>
      <c r="H6" s="84" t="s">
        <v>333</v>
      </c>
    </row>
    <row r="7" spans="2:14" x14ac:dyDescent="0.25">
      <c r="B7" s="104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4" ht="15.75" x14ac:dyDescent="0.25">
      <c r="B8" s="98" t="s">
        <v>247</v>
      </c>
      <c r="C8" s="103" t="s">
        <v>41</v>
      </c>
      <c r="D8" s="89">
        <v>3234493</v>
      </c>
      <c r="E8" s="90">
        <f>D8/D$15*100</f>
        <v>12.391836028510825</v>
      </c>
      <c r="F8" s="105">
        <v>3231497</v>
      </c>
      <c r="G8" s="90">
        <f t="shared" ref="G8:G14" si="0">F8/F$15*100</f>
        <v>12.473150760563763</v>
      </c>
      <c r="H8" s="91">
        <f>F8/D8*100</f>
        <v>99.907373427612924</v>
      </c>
      <c r="J8" s="14"/>
      <c r="L8" s="25"/>
      <c r="N8" s="14"/>
    </row>
    <row r="9" spans="2:14" ht="20.45" customHeight="1" x14ac:dyDescent="0.25">
      <c r="B9" s="98" t="s">
        <v>248</v>
      </c>
      <c r="C9" s="103" t="s">
        <v>42</v>
      </c>
      <c r="D9" s="89">
        <v>1790347</v>
      </c>
      <c r="E9" s="90">
        <f>D9/D$15*100</f>
        <v>6.8590924321481808</v>
      </c>
      <c r="F9" s="105">
        <v>1646231</v>
      </c>
      <c r="G9" s="90">
        <f t="shared" si="0"/>
        <v>6.3542337961983701</v>
      </c>
      <c r="H9" s="91">
        <f t="shared" ref="H9:H15" si="1">F9/D9*100</f>
        <v>91.950387271294332</v>
      </c>
      <c r="J9" s="14"/>
      <c r="L9" s="25"/>
      <c r="N9" s="14"/>
    </row>
    <row r="10" spans="2:14" ht="15.75" x14ac:dyDescent="0.25">
      <c r="B10" s="98" t="s">
        <v>249</v>
      </c>
      <c r="C10" s="88" t="s">
        <v>43</v>
      </c>
      <c r="D10" s="89">
        <v>6443805</v>
      </c>
      <c r="E10" s="90">
        <f>D10/D$15*100</f>
        <v>24.687199805254856</v>
      </c>
      <c r="F10" s="105">
        <v>6022834</v>
      </c>
      <c r="G10" s="90">
        <f t="shared" si="0"/>
        <v>23.247342172327343</v>
      </c>
      <c r="H10" s="91">
        <f t="shared" si="1"/>
        <v>93.467043152298984</v>
      </c>
      <c r="J10" s="14"/>
      <c r="L10" s="25"/>
      <c r="N10" s="14"/>
    </row>
    <row r="11" spans="2:14" ht="15.75" x14ac:dyDescent="0.25">
      <c r="B11" s="98" t="s">
        <v>250</v>
      </c>
      <c r="C11" s="103" t="s">
        <v>44</v>
      </c>
      <c r="D11" s="89">
        <v>191182</v>
      </c>
      <c r="E11" s="90">
        <f>D11/D$15*100</f>
        <v>0.7324474022985229</v>
      </c>
      <c r="F11" s="105">
        <v>197798</v>
      </c>
      <c r="G11" s="90">
        <f t="shared" si="0"/>
        <v>0.76347410322150733</v>
      </c>
      <c r="H11" s="91">
        <f t="shared" si="1"/>
        <v>103.46057683254699</v>
      </c>
      <c r="J11" s="14"/>
      <c r="L11" s="25"/>
      <c r="N11" s="14"/>
    </row>
    <row r="12" spans="2:14" ht="18.75" customHeight="1" x14ac:dyDescent="0.25">
      <c r="B12" s="98" t="s">
        <v>251</v>
      </c>
      <c r="C12" s="103" t="s">
        <v>378</v>
      </c>
      <c r="D12" s="89">
        <v>731655</v>
      </c>
      <c r="E12" s="90">
        <f>D12/D$15*100</f>
        <v>2.8030819016891013</v>
      </c>
      <c r="F12" s="105">
        <v>766040</v>
      </c>
      <c r="G12" s="90">
        <f t="shared" si="0"/>
        <v>2.9568130215260187</v>
      </c>
      <c r="H12" s="91">
        <f t="shared" si="1"/>
        <v>104.6996193561173</v>
      </c>
      <c r="J12" s="14"/>
      <c r="L12" s="25"/>
      <c r="N12" s="14"/>
    </row>
    <row r="13" spans="2:14" ht="18.75" customHeight="1" x14ac:dyDescent="0.25">
      <c r="B13" s="98" t="s">
        <v>252</v>
      </c>
      <c r="C13" s="103" t="s">
        <v>528</v>
      </c>
      <c r="D13" s="89">
        <v>658599</v>
      </c>
      <c r="E13" s="90">
        <f t="shared" ref="E13:E14" si="2">D13/D$15*100</f>
        <v>2.5231932227218303</v>
      </c>
      <c r="F13" s="105">
        <v>634692</v>
      </c>
      <c r="G13" s="90">
        <f t="shared" si="0"/>
        <v>2.4498271242472875</v>
      </c>
      <c r="H13" s="91">
        <f t="shared" si="1"/>
        <v>96.370021819043146</v>
      </c>
      <c r="J13" s="14"/>
      <c r="L13" s="25"/>
      <c r="N13" s="14"/>
    </row>
    <row r="14" spans="2:14" ht="15.75" x14ac:dyDescent="0.25">
      <c r="B14" s="98" t="s">
        <v>253</v>
      </c>
      <c r="C14" s="103" t="s">
        <v>45</v>
      </c>
      <c r="D14" s="89">
        <v>13051725</v>
      </c>
      <c r="E14" s="90">
        <f t="shared" si="2"/>
        <v>50.003149207376687</v>
      </c>
      <c r="F14" s="105">
        <v>13408532</v>
      </c>
      <c r="G14" s="90">
        <f t="shared" si="0"/>
        <v>51.755159021915709</v>
      </c>
      <c r="H14" s="91">
        <f t="shared" si="1"/>
        <v>102.73379189340872</v>
      </c>
      <c r="J14" s="14"/>
      <c r="L14" s="25"/>
      <c r="N14" s="14"/>
    </row>
    <row r="15" spans="2:14" ht="17.45" customHeight="1" x14ac:dyDescent="0.25">
      <c r="B15" s="450" t="s">
        <v>18</v>
      </c>
      <c r="C15" s="450"/>
      <c r="D15" s="92">
        <f>SUM(D8:D14)</f>
        <v>26101806</v>
      </c>
      <c r="E15" s="93">
        <f>SUM(E8:E14)</f>
        <v>100</v>
      </c>
      <c r="F15" s="92">
        <f>SUM(F8:F14)</f>
        <v>25907624</v>
      </c>
      <c r="G15" s="93">
        <f>SUM(G8:G14)</f>
        <v>100</v>
      </c>
      <c r="H15" s="93">
        <f t="shared" si="1"/>
        <v>99.256059140122332</v>
      </c>
      <c r="J15" s="14"/>
      <c r="L15" s="25"/>
      <c r="N15" s="14"/>
    </row>
    <row r="17" spans="4:6" x14ac:dyDescent="0.25">
      <c r="D17" s="25"/>
      <c r="E17" s="25"/>
      <c r="F17" s="25"/>
    </row>
    <row r="18" spans="4:6" x14ac:dyDescent="0.25">
      <c r="D18" s="25"/>
      <c r="E18" s="25"/>
      <c r="F18" s="25"/>
    </row>
    <row r="21" spans="4:6" x14ac:dyDescent="0.25">
      <c r="D21" s="14"/>
      <c r="F21" s="14"/>
    </row>
    <row r="22" spans="4:6" x14ac:dyDescent="0.25">
      <c r="D22" s="25"/>
      <c r="E22" s="25"/>
      <c r="F22" s="25"/>
    </row>
  </sheetData>
  <mergeCells count="6">
    <mergeCell ref="B5:B6"/>
    <mergeCell ref="B4:H4"/>
    <mergeCell ref="B15:C15"/>
    <mergeCell ref="C5:C6"/>
    <mergeCell ref="D5:E5"/>
    <mergeCell ref="F5:G5"/>
  </mergeCells>
  <pageMargins left="0.7" right="0.7" top="0.75" bottom="0.75" header="0.3" footer="0.3"/>
  <pageSetup paperSize="9" fitToHeight="0" orientation="landscape" r:id="rId1"/>
  <ignoredErrors>
    <ignoredError sqref="D15 F15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54FF-BDB7-4E0A-9B06-30905B7E234A}">
  <dimension ref="B2:N16"/>
  <sheetViews>
    <sheetView workbookViewId="0"/>
  </sheetViews>
  <sheetFormatPr defaultRowHeight="15" x14ac:dyDescent="0.25"/>
  <cols>
    <col min="2" max="2" width="7" customWidth="1"/>
    <col min="3" max="3" width="28.5703125" customWidth="1"/>
    <col min="4" max="4" width="15" customWidth="1"/>
    <col min="5" max="5" width="12" customWidth="1"/>
    <col min="6" max="6" width="15.140625" customWidth="1"/>
    <col min="7" max="7" width="11.140625" customWidth="1"/>
    <col min="8" max="8" width="16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2" spans="2:14" x14ac:dyDescent="0.25">
      <c r="J2" s="41"/>
    </row>
    <row r="3" spans="2:14" ht="16.5" thickBot="1" x14ac:dyDescent="0.3">
      <c r="B3" s="47"/>
      <c r="C3" s="114" t="s">
        <v>47</v>
      </c>
      <c r="D3" s="68"/>
      <c r="E3" s="68"/>
      <c r="F3" s="68"/>
      <c r="G3" s="68"/>
      <c r="H3" s="71" t="s">
        <v>263</v>
      </c>
    </row>
    <row r="4" spans="2:14" ht="24.95" customHeight="1" thickTop="1" x14ac:dyDescent="0.25">
      <c r="B4" s="454" t="s">
        <v>1311</v>
      </c>
      <c r="C4" s="454"/>
      <c r="D4" s="454"/>
      <c r="E4" s="454"/>
      <c r="F4" s="454"/>
      <c r="G4" s="454"/>
      <c r="H4" s="454"/>
    </row>
    <row r="5" spans="2:14" ht="15.75" x14ac:dyDescent="0.25">
      <c r="B5" s="448" t="s">
        <v>100</v>
      </c>
      <c r="C5" s="450" t="s">
        <v>546</v>
      </c>
      <c r="D5" s="450" t="s">
        <v>601</v>
      </c>
      <c r="E5" s="450"/>
      <c r="F5" s="450" t="s">
        <v>602</v>
      </c>
      <c r="G5" s="450"/>
      <c r="H5" s="84" t="s">
        <v>1</v>
      </c>
    </row>
    <row r="6" spans="2:14" ht="15.75" x14ac:dyDescent="0.25">
      <c r="B6" s="448"/>
      <c r="C6" s="450"/>
      <c r="D6" s="84" t="s">
        <v>2</v>
      </c>
      <c r="E6" s="84" t="s">
        <v>20</v>
      </c>
      <c r="F6" s="84" t="s">
        <v>2</v>
      </c>
      <c r="G6" s="84" t="s">
        <v>20</v>
      </c>
      <c r="H6" s="84" t="s">
        <v>333</v>
      </c>
    </row>
    <row r="7" spans="2:14" x14ac:dyDescent="0.25">
      <c r="B7" s="104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4" ht="15.75" x14ac:dyDescent="0.25">
      <c r="B8" s="87" t="s">
        <v>247</v>
      </c>
      <c r="C8" s="103" t="s">
        <v>529</v>
      </c>
      <c r="D8" s="89">
        <v>5626994</v>
      </c>
      <c r="E8" s="90">
        <f t="shared" ref="E8:E13" si="0">D8/D$14*100</f>
        <v>43.113029120671783</v>
      </c>
      <c r="F8" s="105">
        <v>5963376</v>
      </c>
      <c r="G8" s="90">
        <f t="shared" ref="G8:G13" si="1">F8/F$14*100</f>
        <v>44.474488333249305</v>
      </c>
      <c r="H8" s="91">
        <f>F8/D8*100</f>
        <v>105.97800530798504</v>
      </c>
      <c r="J8" s="14"/>
      <c r="L8" s="25"/>
      <c r="N8" s="14"/>
    </row>
    <row r="9" spans="2:14" ht="20.45" customHeight="1" x14ac:dyDescent="0.25">
      <c r="B9" s="87" t="s">
        <v>248</v>
      </c>
      <c r="C9" s="103" t="s">
        <v>530</v>
      </c>
      <c r="D9" s="89">
        <v>3460206</v>
      </c>
      <c r="E9" s="90">
        <f t="shared" si="0"/>
        <v>26.511484114168816</v>
      </c>
      <c r="F9" s="105">
        <v>3492563</v>
      </c>
      <c r="G9" s="90">
        <f t="shared" si="1"/>
        <v>26.047318229915099</v>
      </c>
      <c r="H9" s="91">
        <f t="shared" ref="H9:H14" si="2">F9/D9*100</f>
        <v>100.93511773576486</v>
      </c>
      <c r="J9" s="14"/>
      <c r="L9" s="25"/>
      <c r="N9" s="14"/>
    </row>
    <row r="10" spans="2:14" ht="15.75" x14ac:dyDescent="0.25">
      <c r="B10" s="87" t="s">
        <v>249</v>
      </c>
      <c r="C10" s="88" t="s">
        <v>531</v>
      </c>
      <c r="D10" s="89">
        <v>299563</v>
      </c>
      <c r="E10" s="90">
        <f t="shared" si="0"/>
        <v>2.2951985273977198</v>
      </c>
      <c r="F10" s="105">
        <v>305998</v>
      </c>
      <c r="G10" s="90">
        <f t="shared" si="1"/>
        <v>2.282114104661122</v>
      </c>
      <c r="H10" s="91">
        <f t="shared" si="2"/>
        <v>102.14812910806741</v>
      </c>
      <c r="J10" s="14"/>
      <c r="L10" s="25"/>
      <c r="N10" s="14"/>
    </row>
    <row r="11" spans="2:14" ht="18.75" customHeight="1" x14ac:dyDescent="0.25">
      <c r="B11" s="87" t="s">
        <v>250</v>
      </c>
      <c r="C11" s="103" t="s">
        <v>532</v>
      </c>
      <c r="D11" s="89">
        <v>2890195</v>
      </c>
      <c r="E11" s="90">
        <f t="shared" si="0"/>
        <v>22.144161020861226</v>
      </c>
      <c r="F11" s="105">
        <v>2867794</v>
      </c>
      <c r="G11" s="90">
        <f t="shared" si="1"/>
        <v>21.387829778830376</v>
      </c>
      <c r="H11" s="91">
        <f t="shared" si="2"/>
        <v>99.224931189764007</v>
      </c>
      <c r="J11" s="14"/>
      <c r="L11" s="25"/>
      <c r="N11" s="14"/>
    </row>
    <row r="12" spans="2:14" ht="18.75" customHeight="1" x14ac:dyDescent="0.25">
      <c r="B12" s="87" t="s">
        <v>251</v>
      </c>
      <c r="C12" s="103" t="s">
        <v>545</v>
      </c>
      <c r="D12" s="89">
        <v>367911</v>
      </c>
      <c r="E12" s="90">
        <f t="shared" si="0"/>
        <v>2.8188687702200284</v>
      </c>
      <c r="F12" s="105">
        <v>391401</v>
      </c>
      <c r="G12" s="90">
        <f t="shared" si="1"/>
        <v>2.9190443815922578</v>
      </c>
      <c r="H12" s="91">
        <f t="shared" si="2"/>
        <v>106.38469629883313</v>
      </c>
      <c r="J12" s="14"/>
      <c r="L12" s="25"/>
      <c r="N12" s="14"/>
    </row>
    <row r="13" spans="2:14" ht="18.75" customHeight="1" x14ac:dyDescent="0.25">
      <c r="B13" s="87" t="s">
        <v>252</v>
      </c>
      <c r="C13" s="103" t="s">
        <v>533</v>
      </c>
      <c r="D13" s="89">
        <v>406856</v>
      </c>
      <c r="E13" s="90">
        <f t="shared" si="0"/>
        <v>3.1172584466804194</v>
      </c>
      <c r="F13" s="105">
        <v>387400</v>
      </c>
      <c r="G13" s="90">
        <f t="shared" si="1"/>
        <v>2.8892051717518368</v>
      </c>
      <c r="H13" s="91">
        <f t="shared" si="2"/>
        <v>95.217964095404767</v>
      </c>
      <c r="J13" s="14"/>
      <c r="L13" s="25"/>
      <c r="N13" s="14"/>
    </row>
    <row r="14" spans="2:14" ht="17.45" customHeight="1" x14ac:dyDescent="0.25">
      <c r="B14" s="450" t="s">
        <v>18</v>
      </c>
      <c r="C14" s="450"/>
      <c r="D14" s="92">
        <f>SUM(D8:D13)</f>
        <v>13051725</v>
      </c>
      <c r="E14" s="93">
        <f>SUM(E8:E13)</f>
        <v>100.00000000000001</v>
      </c>
      <c r="F14" s="92">
        <f>SUM(F8:F13)</f>
        <v>13408532</v>
      </c>
      <c r="G14" s="93">
        <f>SUM(G8:G13)</f>
        <v>100</v>
      </c>
      <c r="H14" s="93">
        <f t="shared" si="2"/>
        <v>102.73379189340872</v>
      </c>
      <c r="J14" s="14"/>
      <c r="L14" s="25"/>
      <c r="N14" s="14"/>
    </row>
    <row r="16" spans="2:14" x14ac:dyDescent="0.25">
      <c r="D16" s="14"/>
    </row>
  </sheetData>
  <mergeCells count="6">
    <mergeCell ref="B14:C14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D14:F14" formulaRange="1"/>
    <ignoredError sqref="G14" evalError="1" formulaRange="1"/>
    <ignoredError sqref="G8:G13" evalError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J13"/>
  <sheetViews>
    <sheetView workbookViewId="0"/>
  </sheetViews>
  <sheetFormatPr defaultRowHeight="15" x14ac:dyDescent="0.25"/>
  <cols>
    <col min="2" max="2" width="6.7109375" customWidth="1"/>
    <col min="3" max="3" width="20.42578125" customWidth="1"/>
    <col min="4" max="4" width="17.140625" customWidth="1"/>
    <col min="5" max="5" width="16.85546875" customWidth="1"/>
    <col min="6" max="6" width="15.140625" customWidth="1"/>
    <col min="10" max="10" width="10.85546875" customWidth="1"/>
  </cols>
  <sheetData>
    <row r="2" spans="2:10" ht="15.75" x14ac:dyDescent="0.25">
      <c r="C2" s="5"/>
      <c r="D2" s="4"/>
      <c r="E2" s="4"/>
      <c r="F2" s="4"/>
      <c r="H2" s="41"/>
    </row>
    <row r="3" spans="2:10" ht="16.5" thickBot="1" x14ac:dyDescent="0.3">
      <c r="B3" s="75"/>
      <c r="C3" s="115" t="s">
        <v>52</v>
      </c>
      <c r="D3" s="77"/>
      <c r="E3" s="77"/>
      <c r="F3" s="78" t="s">
        <v>263</v>
      </c>
    </row>
    <row r="4" spans="2:10" ht="24.95" customHeight="1" thickTop="1" x14ac:dyDescent="0.25">
      <c r="B4" s="454" t="s">
        <v>1312</v>
      </c>
      <c r="C4" s="454"/>
      <c r="D4" s="454"/>
      <c r="E4" s="454"/>
      <c r="F4" s="454"/>
    </row>
    <row r="5" spans="2:10" ht="15.75" x14ac:dyDescent="0.25">
      <c r="B5" s="448" t="s">
        <v>100</v>
      </c>
      <c r="C5" s="450" t="s">
        <v>0</v>
      </c>
      <c r="D5" s="450" t="s">
        <v>2</v>
      </c>
      <c r="E5" s="450"/>
      <c r="F5" s="84" t="s">
        <v>1</v>
      </c>
    </row>
    <row r="6" spans="2:10" ht="15.75" x14ac:dyDescent="0.25">
      <c r="B6" s="448"/>
      <c r="C6" s="450"/>
      <c r="D6" s="84" t="s">
        <v>601</v>
      </c>
      <c r="E6" s="84" t="s">
        <v>602</v>
      </c>
      <c r="F6" s="84" t="s">
        <v>48</v>
      </c>
    </row>
    <row r="7" spans="2:10" s="33" customFormat="1" ht="12.75" x14ac:dyDescent="0.2">
      <c r="B7" s="104">
        <v>1</v>
      </c>
      <c r="C7" s="86">
        <v>2</v>
      </c>
      <c r="D7" s="86">
        <v>3</v>
      </c>
      <c r="E7" s="86">
        <v>4</v>
      </c>
      <c r="F7" s="86">
        <v>5</v>
      </c>
    </row>
    <row r="8" spans="2:10" ht="15.75" x14ac:dyDescent="0.25">
      <c r="B8" s="87" t="s">
        <v>247</v>
      </c>
      <c r="C8" s="88" t="s">
        <v>49</v>
      </c>
      <c r="D8" s="89">
        <v>145656</v>
      </c>
      <c r="E8" s="89">
        <v>153924</v>
      </c>
      <c r="F8" s="94">
        <f>E8/D8*100</f>
        <v>105.67638820233975</v>
      </c>
      <c r="H8" s="14"/>
      <c r="J8" s="14"/>
    </row>
    <row r="9" spans="2:10" ht="15.75" x14ac:dyDescent="0.25">
      <c r="B9" s="87" t="s">
        <v>248</v>
      </c>
      <c r="C9" s="88" t="s">
        <v>50</v>
      </c>
      <c r="D9" s="89">
        <v>12131302</v>
      </c>
      <c r="E9" s="89">
        <v>12475807</v>
      </c>
      <c r="F9" s="94">
        <f t="shared" ref="F9:F10" si="0">E9/D9*100</f>
        <v>102.83980235592189</v>
      </c>
    </row>
    <row r="10" spans="2:10" ht="17.45" customHeight="1" x14ac:dyDescent="0.25">
      <c r="B10" s="450" t="s">
        <v>51</v>
      </c>
      <c r="C10" s="450"/>
      <c r="D10" s="92">
        <f>SUM(D8:D9)</f>
        <v>12276958</v>
      </c>
      <c r="E10" s="92">
        <f>E8+E9</f>
        <v>12629731</v>
      </c>
      <c r="F10" s="107">
        <f t="shared" si="0"/>
        <v>102.8734561118479</v>
      </c>
      <c r="H10" s="14"/>
      <c r="J10" s="14"/>
    </row>
    <row r="11" spans="2:10" ht="15.75" x14ac:dyDescent="0.25">
      <c r="C11" s="4"/>
      <c r="D11" s="4"/>
      <c r="E11" s="4"/>
      <c r="F11" s="4"/>
    </row>
    <row r="12" spans="2:10" x14ac:dyDescent="0.25">
      <c r="E12" s="14"/>
    </row>
    <row r="13" spans="2:10" x14ac:dyDescent="0.25">
      <c r="D13" s="14"/>
    </row>
  </sheetData>
  <mergeCells count="5">
    <mergeCell ref="B4:F4"/>
    <mergeCell ref="B10:C10"/>
    <mergeCell ref="C5:C6"/>
    <mergeCell ref="B5:B6"/>
    <mergeCell ref="D5:E5"/>
  </mergeCells>
  <pageMargins left="0.7" right="0.7" top="0.75" bottom="0.75" header="0.3" footer="0.3"/>
  <pageSetup paperSize="9" orientation="portrait" r:id="rId1"/>
  <ignoredErrors>
    <ignoredError sqref="D10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K15"/>
  <sheetViews>
    <sheetView workbookViewId="0"/>
  </sheetViews>
  <sheetFormatPr defaultRowHeight="15" x14ac:dyDescent="0.25"/>
  <cols>
    <col min="2" max="2" width="7.85546875" customWidth="1"/>
    <col min="3" max="3" width="29.85546875" customWidth="1"/>
    <col min="4" max="4" width="15.85546875" customWidth="1"/>
    <col min="5" max="5" width="12.5703125" customWidth="1"/>
    <col min="6" max="6" width="16" customWidth="1"/>
    <col min="7" max="7" width="12.140625" customWidth="1"/>
    <col min="8" max="8" width="14.5703125" customWidth="1"/>
  </cols>
  <sheetData>
    <row r="2" spans="2:11" ht="15.75" x14ac:dyDescent="0.25">
      <c r="C2" s="3"/>
      <c r="D2" s="4"/>
      <c r="E2" s="4"/>
      <c r="F2" s="4"/>
      <c r="G2" s="4"/>
      <c r="H2" s="4"/>
    </row>
    <row r="3" spans="2:11" ht="16.5" thickBot="1" x14ac:dyDescent="0.3">
      <c r="B3" s="75"/>
      <c r="C3" s="76" t="s">
        <v>55</v>
      </c>
      <c r="D3" s="77"/>
      <c r="E3" s="77"/>
      <c r="F3" s="77"/>
      <c r="G3" s="77"/>
      <c r="H3" s="78" t="s">
        <v>261</v>
      </c>
    </row>
    <row r="4" spans="2:11" ht="24.95" customHeight="1" thickTop="1" x14ac:dyDescent="0.25">
      <c r="B4" s="454" t="s">
        <v>1313</v>
      </c>
      <c r="C4" s="454"/>
      <c r="D4" s="454"/>
      <c r="E4" s="454"/>
      <c r="F4" s="454"/>
      <c r="G4" s="454"/>
      <c r="H4" s="454"/>
    </row>
    <row r="5" spans="2:11" ht="15.75" x14ac:dyDescent="0.25">
      <c r="B5" s="448" t="s">
        <v>100</v>
      </c>
      <c r="C5" s="450" t="s">
        <v>336</v>
      </c>
      <c r="D5" s="450" t="s">
        <v>601</v>
      </c>
      <c r="E5" s="450"/>
      <c r="F5" s="450" t="s">
        <v>602</v>
      </c>
      <c r="G5" s="450"/>
      <c r="H5" s="256" t="s">
        <v>1</v>
      </c>
    </row>
    <row r="6" spans="2:11" ht="15.75" x14ac:dyDescent="0.25">
      <c r="B6" s="448"/>
      <c r="C6" s="450"/>
      <c r="D6" s="84" t="s">
        <v>2</v>
      </c>
      <c r="E6" s="84" t="s">
        <v>20</v>
      </c>
      <c r="F6" s="84" t="s">
        <v>2</v>
      </c>
      <c r="G6" s="84" t="s">
        <v>20</v>
      </c>
      <c r="H6" s="84" t="s">
        <v>333</v>
      </c>
    </row>
    <row r="7" spans="2:11" ht="16.350000000000001" customHeight="1" x14ac:dyDescent="0.25">
      <c r="B7" s="104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1" ht="17.45" customHeight="1" x14ac:dyDescent="0.25">
      <c r="B8" s="98" t="s">
        <v>247</v>
      </c>
      <c r="C8" s="88" t="s">
        <v>53</v>
      </c>
      <c r="D8" s="89">
        <v>9386763</v>
      </c>
      <c r="E8" s="90">
        <f>D8/D10*100</f>
        <v>76.458378370277075</v>
      </c>
      <c r="F8" s="89">
        <v>9761937</v>
      </c>
      <c r="G8" s="90">
        <f>F8/F10*100</f>
        <v>77.293308939042333</v>
      </c>
      <c r="H8" s="91">
        <f>F8/D8*100</f>
        <v>103.99684108355565</v>
      </c>
      <c r="J8" s="14"/>
      <c r="K8" s="25"/>
    </row>
    <row r="9" spans="2:11" ht="15.75" x14ac:dyDescent="0.25">
      <c r="B9" s="98" t="s">
        <v>248</v>
      </c>
      <c r="C9" s="88" t="s">
        <v>54</v>
      </c>
      <c r="D9" s="89">
        <v>2890195</v>
      </c>
      <c r="E9" s="90">
        <f>D9/D10*100</f>
        <v>23.541621629722933</v>
      </c>
      <c r="F9" s="89">
        <v>2867794</v>
      </c>
      <c r="G9" s="90">
        <f>F9/F10*100</f>
        <v>22.706691060957674</v>
      </c>
      <c r="H9" s="91">
        <f t="shared" ref="H9:H10" si="0">F9/D9*100</f>
        <v>99.224931189764007</v>
      </c>
      <c r="J9" s="14"/>
      <c r="K9" s="25"/>
    </row>
    <row r="10" spans="2:11" ht="22.35" customHeight="1" x14ac:dyDescent="0.25">
      <c r="B10" s="450" t="s">
        <v>5</v>
      </c>
      <c r="C10" s="450"/>
      <c r="D10" s="92">
        <f>SUM(D8:D9)</f>
        <v>12276958</v>
      </c>
      <c r="E10" s="93">
        <f>SUM(E8:E9)</f>
        <v>100</v>
      </c>
      <c r="F10" s="92">
        <f>F8+F9</f>
        <v>12629731</v>
      </c>
      <c r="G10" s="93">
        <f>SUM(G8:G9)</f>
        <v>100</v>
      </c>
      <c r="H10" s="93">
        <f t="shared" si="0"/>
        <v>102.8734561118479</v>
      </c>
      <c r="J10" s="14"/>
      <c r="K10" s="25"/>
    </row>
    <row r="11" spans="2:11" ht="15.75" x14ac:dyDescent="0.25">
      <c r="C11" s="7"/>
      <c r="D11" s="4"/>
      <c r="E11" s="4"/>
      <c r="F11" s="4"/>
      <c r="G11" s="4"/>
      <c r="H11" s="4"/>
    </row>
    <row r="15" spans="2:11" x14ac:dyDescent="0.25">
      <c r="F15" s="14"/>
    </row>
  </sheetData>
  <mergeCells count="6">
    <mergeCell ref="B4:H4"/>
    <mergeCell ref="B5:B6"/>
    <mergeCell ref="B10:C10"/>
    <mergeCell ref="C5:C6"/>
    <mergeCell ref="F5:G5"/>
    <mergeCell ref="D5:E5"/>
  </mergeCells>
  <pageMargins left="0.7" right="0.7" top="0.75" bottom="0.75" header="0.3" footer="0.3"/>
  <ignoredErrors>
    <ignoredError sqref="D10:E10" formulaRange="1"/>
    <ignoredError sqref="F10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I14"/>
  <sheetViews>
    <sheetView workbookViewId="0"/>
  </sheetViews>
  <sheetFormatPr defaultRowHeight="15.75" x14ac:dyDescent="0.25"/>
  <cols>
    <col min="2" max="2" width="9.140625" style="2"/>
    <col min="3" max="3" width="33" customWidth="1"/>
    <col min="4" max="4" width="16" customWidth="1"/>
    <col min="5" max="5" width="13.85546875" customWidth="1"/>
    <col min="6" max="6" width="11.140625" customWidth="1"/>
  </cols>
  <sheetData>
    <row r="3" spans="2:9" ht="16.5" thickBot="1" x14ac:dyDescent="0.3">
      <c r="B3" s="123"/>
      <c r="C3" s="76" t="s">
        <v>55</v>
      </c>
      <c r="D3" s="77"/>
      <c r="E3" s="77"/>
      <c r="F3" s="124" t="s">
        <v>261</v>
      </c>
    </row>
    <row r="4" spans="2:9" ht="24.95" customHeight="1" thickTop="1" x14ac:dyDescent="0.25">
      <c r="B4" s="454" t="s">
        <v>1314</v>
      </c>
      <c r="C4" s="454"/>
      <c r="D4" s="454"/>
      <c r="E4" s="454"/>
      <c r="F4" s="454"/>
    </row>
    <row r="5" spans="2:9" x14ac:dyDescent="0.25">
      <c r="B5" s="448" t="s">
        <v>100</v>
      </c>
      <c r="C5" s="450" t="s">
        <v>56</v>
      </c>
      <c r="D5" s="448" t="s">
        <v>601</v>
      </c>
      <c r="E5" s="450" t="s">
        <v>602</v>
      </c>
      <c r="F5" s="256" t="s">
        <v>1</v>
      </c>
    </row>
    <row r="6" spans="2:9" x14ac:dyDescent="0.25">
      <c r="B6" s="448"/>
      <c r="C6" s="450"/>
      <c r="D6" s="448"/>
      <c r="E6" s="450"/>
      <c r="F6" s="84" t="s">
        <v>48</v>
      </c>
    </row>
    <row r="7" spans="2:9" ht="15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</row>
    <row r="8" spans="2:9" ht="17.100000000000001" customHeight="1" x14ac:dyDescent="0.25">
      <c r="B8" s="98" t="s">
        <v>247</v>
      </c>
      <c r="C8" s="99" t="s">
        <v>337</v>
      </c>
      <c r="D8" s="94">
        <v>9542698</v>
      </c>
      <c r="E8" s="94">
        <v>9782162</v>
      </c>
      <c r="F8" s="91">
        <f>E8/D8*100</f>
        <v>102.5093951417094</v>
      </c>
      <c r="I8" s="14"/>
    </row>
    <row r="9" spans="2:9" ht="17.100000000000001" customHeight="1" x14ac:dyDescent="0.25">
      <c r="B9" s="98" t="s">
        <v>248</v>
      </c>
      <c r="C9" s="88" t="s">
        <v>338</v>
      </c>
      <c r="D9" s="94">
        <f>D10+D11</f>
        <v>12276958</v>
      </c>
      <c r="E9" s="94">
        <f>E10+E11</f>
        <v>12629731</v>
      </c>
      <c r="F9" s="91">
        <f t="shared" ref="F9" si="0">E9/D9*100</f>
        <v>102.8734561118479</v>
      </c>
      <c r="I9" s="14"/>
    </row>
    <row r="10" spans="2:9" ht="17.100000000000001" customHeight="1" x14ac:dyDescent="0.25">
      <c r="B10" s="98" t="s">
        <v>277</v>
      </c>
      <c r="C10" s="88" t="s">
        <v>339</v>
      </c>
      <c r="D10" s="94">
        <v>3189758</v>
      </c>
      <c r="E10" s="94">
        <v>3173792</v>
      </c>
      <c r="F10" s="91">
        <f>E10/D10*100</f>
        <v>99.499460460636826</v>
      </c>
    </row>
    <row r="11" spans="2:9" ht="17.100000000000001" customHeight="1" x14ac:dyDescent="0.25">
      <c r="B11" s="98" t="s">
        <v>278</v>
      </c>
      <c r="C11" s="88" t="s">
        <v>340</v>
      </c>
      <c r="D11" s="94">
        <v>9087200</v>
      </c>
      <c r="E11" s="94">
        <v>9455939</v>
      </c>
      <c r="F11" s="91">
        <f>E11/D11*100</f>
        <v>104.05778457610705</v>
      </c>
    </row>
    <row r="12" spans="2:9" ht="17.100000000000001" customHeight="1" x14ac:dyDescent="0.25">
      <c r="B12" s="98" t="s">
        <v>249</v>
      </c>
      <c r="C12" s="88" t="s">
        <v>341</v>
      </c>
      <c r="D12" s="297">
        <f t="shared" ref="D12" si="1">D8/D9</f>
        <v>0.77728522000319622</v>
      </c>
      <c r="E12" s="297">
        <f>E8/E9</f>
        <v>0.77453446949899407</v>
      </c>
      <c r="F12" s="298"/>
    </row>
    <row r="13" spans="2:9" ht="17.100000000000001" customHeight="1" x14ac:dyDescent="0.25">
      <c r="B13" s="98" t="s">
        <v>250</v>
      </c>
      <c r="C13" s="88" t="s">
        <v>342</v>
      </c>
      <c r="D13" s="94">
        <v>13051725</v>
      </c>
      <c r="E13" s="94">
        <v>13408532</v>
      </c>
      <c r="F13" s="91">
        <f>E13/D13*100</f>
        <v>102.73379189340872</v>
      </c>
    </row>
    <row r="14" spans="2:9" ht="16.5" customHeight="1" x14ac:dyDescent="0.25">
      <c r="B14" s="98" t="s">
        <v>251</v>
      </c>
      <c r="C14" s="88" t="s">
        <v>343</v>
      </c>
      <c r="D14" s="297">
        <f t="shared" ref="D14" si="2">D8/D13</f>
        <v>0.73114458050564202</v>
      </c>
      <c r="E14" s="297">
        <f>E8/E13</f>
        <v>0.72954757463382269</v>
      </c>
      <c r="F14" s="298"/>
    </row>
  </sheetData>
  <mergeCells count="5">
    <mergeCell ref="C5:C6"/>
    <mergeCell ref="B5:B6"/>
    <mergeCell ref="B4:F4"/>
    <mergeCell ref="D5:D6"/>
    <mergeCell ref="E5:E6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I32"/>
  <sheetViews>
    <sheetView zoomScaleNormal="100" workbookViewId="0"/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42578125" customWidth="1"/>
    <col min="5" max="5" width="15.28515625" customWidth="1"/>
    <col min="6" max="6" width="10.42578125" customWidth="1"/>
    <col min="8" max="9" width="10.7109375" bestFit="1" customWidth="1"/>
  </cols>
  <sheetData>
    <row r="3" spans="2:9" ht="16.5" thickBot="1" x14ac:dyDescent="0.3">
      <c r="B3" s="72" t="s">
        <v>151</v>
      </c>
      <c r="C3" s="68"/>
      <c r="D3" s="68"/>
      <c r="E3" s="68"/>
      <c r="F3" s="78" t="s">
        <v>264</v>
      </c>
    </row>
    <row r="4" spans="2:9" ht="24.95" customHeight="1" thickTop="1" x14ac:dyDescent="0.25">
      <c r="B4" s="454" t="s">
        <v>1315</v>
      </c>
      <c r="C4" s="454"/>
      <c r="D4" s="454"/>
      <c r="E4" s="454"/>
      <c r="F4" s="454"/>
    </row>
    <row r="5" spans="2:9" ht="36.75" customHeight="1" x14ac:dyDescent="0.25">
      <c r="B5" s="256" t="s">
        <v>100</v>
      </c>
      <c r="C5" s="256" t="s">
        <v>56</v>
      </c>
      <c r="D5" s="84" t="s">
        <v>601</v>
      </c>
      <c r="E5" s="84" t="s">
        <v>602</v>
      </c>
      <c r="F5" s="84" t="s">
        <v>585</v>
      </c>
    </row>
    <row r="6" spans="2:9" ht="15" customHeight="1" x14ac:dyDescent="0.25">
      <c r="B6" s="125">
        <v>1</v>
      </c>
      <c r="C6" s="125">
        <v>2</v>
      </c>
      <c r="D6" s="86">
        <v>3</v>
      </c>
      <c r="E6" s="86">
        <v>4</v>
      </c>
      <c r="F6" s="86">
        <v>5</v>
      </c>
    </row>
    <row r="7" spans="2:9" ht="20.100000000000001" customHeight="1" x14ac:dyDescent="0.25">
      <c r="B7" s="304">
        <v>1</v>
      </c>
      <c r="C7" s="129" t="s">
        <v>57</v>
      </c>
      <c r="D7" s="130">
        <f>D8+D24</f>
        <v>3679981</v>
      </c>
      <c r="E7" s="130">
        <f>E8+E24</f>
        <v>3882439</v>
      </c>
      <c r="F7" s="121">
        <f>E7/D7*100</f>
        <v>105.50160449197972</v>
      </c>
      <c r="H7" s="25"/>
      <c r="I7" s="25"/>
    </row>
    <row r="8" spans="2:9" ht="20.100000000000001" customHeight="1" x14ac:dyDescent="0.25">
      <c r="B8" s="126" t="s">
        <v>58</v>
      </c>
      <c r="C8" s="126" t="s">
        <v>59</v>
      </c>
      <c r="D8" s="128">
        <f>D9+D23</f>
        <v>3479906</v>
      </c>
      <c r="E8" s="128">
        <f>E9+E23</f>
        <v>3628677</v>
      </c>
      <c r="F8" s="93">
        <f t="shared" ref="F8:F25" si="0">E8/D8*100</f>
        <v>104.27514421366556</v>
      </c>
      <c r="H8" s="25"/>
      <c r="I8" s="25"/>
    </row>
    <row r="9" spans="2:9" ht="20.100000000000001" customHeight="1" x14ac:dyDescent="0.25">
      <c r="B9" s="129" t="s">
        <v>60</v>
      </c>
      <c r="C9" s="129" t="s">
        <v>61</v>
      </c>
      <c r="D9" s="131">
        <f>SUM(D10:D22)</f>
        <v>3479906</v>
      </c>
      <c r="E9" s="131">
        <f>SUM(E10:E22)</f>
        <v>3628677</v>
      </c>
      <c r="F9" s="121">
        <f t="shared" si="0"/>
        <v>104.27514421366556</v>
      </c>
      <c r="H9" s="25"/>
      <c r="I9" s="25"/>
    </row>
    <row r="10" spans="2:9" ht="15.95" customHeight="1" x14ac:dyDescent="0.25">
      <c r="B10" s="132" t="s">
        <v>62</v>
      </c>
      <c r="C10" s="132" t="s">
        <v>63</v>
      </c>
      <c r="D10" s="96">
        <v>1614046</v>
      </c>
      <c r="E10" s="96">
        <v>1614046</v>
      </c>
      <c r="F10" s="91">
        <f t="shared" si="0"/>
        <v>100</v>
      </c>
      <c r="H10" s="25"/>
      <c r="I10" s="25"/>
    </row>
    <row r="11" spans="2:9" ht="15.95" customHeight="1" x14ac:dyDescent="0.25">
      <c r="B11" s="132" t="s">
        <v>64</v>
      </c>
      <c r="C11" s="132" t="s">
        <v>65</v>
      </c>
      <c r="D11" s="134">
        <v>118164</v>
      </c>
      <c r="E11" s="134">
        <v>118164</v>
      </c>
      <c r="F11" s="91">
        <f t="shared" si="0"/>
        <v>100</v>
      </c>
      <c r="H11" s="25"/>
      <c r="I11" s="25"/>
    </row>
    <row r="12" spans="2:9" ht="15.95" customHeight="1" x14ac:dyDescent="0.25">
      <c r="B12" s="132" t="s">
        <v>66</v>
      </c>
      <c r="C12" s="132" t="s">
        <v>67</v>
      </c>
      <c r="D12" s="96">
        <v>0</v>
      </c>
      <c r="E12" s="96">
        <v>0</v>
      </c>
      <c r="F12" s="91" t="s">
        <v>80</v>
      </c>
      <c r="H12" s="25"/>
      <c r="I12" s="25"/>
    </row>
    <row r="13" spans="2:9" ht="33.75" customHeight="1" x14ac:dyDescent="0.25">
      <c r="B13" s="132" t="s">
        <v>68</v>
      </c>
      <c r="C13" s="88" t="s">
        <v>463</v>
      </c>
      <c r="D13" s="96">
        <v>0</v>
      </c>
      <c r="E13" s="96">
        <v>0</v>
      </c>
      <c r="F13" s="91" t="s">
        <v>80</v>
      </c>
      <c r="H13" s="25"/>
      <c r="I13" s="25"/>
    </row>
    <row r="14" spans="2:9" ht="15.95" customHeight="1" x14ac:dyDescent="0.25">
      <c r="B14" s="132" t="s">
        <v>70</v>
      </c>
      <c r="C14" s="132" t="s">
        <v>69</v>
      </c>
      <c r="D14" s="96">
        <v>667188</v>
      </c>
      <c r="E14" s="96">
        <v>693464</v>
      </c>
      <c r="F14" s="91">
        <f>E14/D14*100</f>
        <v>103.93832023357734</v>
      </c>
      <c r="H14" s="25"/>
      <c r="I14" s="25"/>
    </row>
    <row r="15" spans="2:9" ht="15.95" customHeight="1" x14ac:dyDescent="0.25">
      <c r="B15" s="132" t="s">
        <v>72</v>
      </c>
      <c r="C15" s="132" t="s">
        <v>71</v>
      </c>
      <c r="D15" s="96">
        <v>-19971</v>
      </c>
      <c r="E15" s="96">
        <v>-46347</v>
      </c>
      <c r="F15" s="91">
        <f t="shared" si="0"/>
        <v>232.07150368033646</v>
      </c>
      <c r="H15" s="25"/>
      <c r="I15" s="25"/>
    </row>
    <row r="16" spans="2:9" ht="15.95" customHeight="1" x14ac:dyDescent="0.25">
      <c r="B16" s="132" t="s">
        <v>74</v>
      </c>
      <c r="C16" s="132" t="s">
        <v>73</v>
      </c>
      <c r="D16" s="96">
        <v>-28039</v>
      </c>
      <c r="E16" s="96">
        <v>-23792</v>
      </c>
      <c r="F16" s="91">
        <f t="shared" si="0"/>
        <v>84.853240129819184</v>
      </c>
      <c r="H16" s="25"/>
      <c r="I16" s="25"/>
    </row>
    <row r="17" spans="2:9" ht="15.95" customHeight="1" x14ac:dyDescent="0.25">
      <c r="B17" s="132" t="s">
        <v>76</v>
      </c>
      <c r="C17" s="132" t="s">
        <v>75</v>
      </c>
      <c r="D17" s="96">
        <v>1237091</v>
      </c>
      <c r="E17" s="96">
        <v>1367932</v>
      </c>
      <c r="F17" s="91">
        <f t="shared" si="0"/>
        <v>110.57650568955719</v>
      </c>
      <c r="H17" s="25"/>
      <c r="I17" s="25"/>
    </row>
    <row r="18" spans="2:9" ht="15.95" customHeight="1" x14ac:dyDescent="0.25">
      <c r="B18" s="132" t="s">
        <v>78</v>
      </c>
      <c r="C18" s="132" t="s">
        <v>77</v>
      </c>
      <c r="D18" s="96">
        <v>-59741</v>
      </c>
      <c r="E18" s="96">
        <v>-46510</v>
      </c>
      <c r="F18" s="91">
        <f>E18/D18*100</f>
        <v>77.85273095529034</v>
      </c>
      <c r="H18" s="25"/>
      <c r="I18" s="25"/>
    </row>
    <row r="19" spans="2:9" ht="30" customHeight="1" x14ac:dyDescent="0.25">
      <c r="B19" s="132" t="s">
        <v>81</v>
      </c>
      <c r="C19" s="88" t="s">
        <v>79</v>
      </c>
      <c r="D19" s="96">
        <v>-12478</v>
      </c>
      <c r="E19" s="200">
        <v>-12226</v>
      </c>
      <c r="F19" s="91">
        <f t="shared" ref="F19:F22" si="1">E19/D19*100</f>
        <v>97.980445584228235</v>
      </c>
      <c r="H19" s="25"/>
      <c r="I19" s="25"/>
    </row>
    <row r="20" spans="2:9" ht="30" customHeight="1" x14ac:dyDescent="0.25">
      <c r="B20" s="132" t="s">
        <v>82</v>
      </c>
      <c r="C20" s="88" t="s">
        <v>501</v>
      </c>
      <c r="D20" s="96">
        <v>-21651</v>
      </c>
      <c r="E20" s="96">
        <v>-21351</v>
      </c>
      <c r="F20" s="91">
        <f>E20/D20*100</f>
        <v>98.614382707496191</v>
      </c>
      <c r="H20" s="25"/>
      <c r="I20" s="25"/>
    </row>
    <row r="21" spans="2:9" ht="30" customHeight="1" x14ac:dyDescent="0.25">
      <c r="B21" s="132" t="s">
        <v>83</v>
      </c>
      <c r="C21" s="88" t="s">
        <v>84</v>
      </c>
      <c r="D21" s="96">
        <v>-14653</v>
      </c>
      <c r="E21" s="96">
        <v>-14653</v>
      </c>
      <c r="F21" s="91">
        <f t="shared" si="1"/>
        <v>100</v>
      </c>
      <c r="H21" s="25"/>
      <c r="I21" s="25"/>
    </row>
    <row r="22" spans="2:9" ht="34.5" customHeight="1" x14ac:dyDescent="0.25">
      <c r="B22" s="132" t="s">
        <v>85</v>
      </c>
      <c r="C22" s="88" t="s">
        <v>599</v>
      </c>
      <c r="D22" s="96">
        <v>-50</v>
      </c>
      <c r="E22" s="96">
        <v>-50</v>
      </c>
      <c r="F22" s="91">
        <f t="shared" si="1"/>
        <v>100</v>
      </c>
      <c r="H22" s="25"/>
      <c r="I22" s="25"/>
    </row>
    <row r="23" spans="2:9" ht="20.100000000000001" customHeight="1" x14ac:dyDescent="0.25">
      <c r="B23" s="129" t="s">
        <v>86</v>
      </c>
      <c r="C23" s="129" t="s">
        <v>87</v>
      </c>
      <c r="D23" s="131">
        <v>0</v>
      </c>
      <c r="E23" s="131">
        <v>0</v>
      </c>
      <c r="F23" s="121" t="s">
        <v>80</v>
      </c>
      <c r="H23" s="25"/>
      <c r="I23" s="25"/>
    </row>
    <row r="24" spans="2:9" ht="17.25" customHeight="1" x14ac:dyDescent="0.25">
      <c r="B24" s="126" t="s">
        <v>88</v>
      </c>
      <c r="C24" s="126" t="s">
        <v>89</v>
      </c>
      <c r="D24" s="128">
        <f>SUM(D25:D29)</f>
        <v>200075</v>
      </c>
      <c r="E24" s="128">
        <f>SUM(E25:E29)</f>
        <v>253762</v>
      </c>
      <c r="F24" s="93">
        <f t="shared" si="0"/>
        <v>126.83343746095215</v>
      </c>
      <c r="H24" s="25"/>
      <c r="I24" s="25"/>
    </row>
    <row r="25" spans="2:9" ht="15.95" customHeight="1" x14ac:dyDescent="0.25">
      <c r="B25" s="132" t="s">
        <v>90</v>
      </c>
      <c r="C25" s="132" t="s">
        <v>91</v>
      </c>
      <c r="D25" s="96">
        <v>200075</v>
      </c>
      <c r="E25" s="96">
        <v>253762</v>
      </c>
      <c r="F25" s="91">
        <f t="shared" si="0"/>
        <v>126.83343746095215</v>
      </c>
      <c r="H25" s="25"/>
      <c r="I25" s="25"/>
    </row>
    <row r="26" spans="2:9" ht="15.95" customHeight="1" x14ac:dyDescent="0.25">
      <c r="B26" s="132" t="s">
        <v>92</v>
      </c>
      <c r="C26" s="132" t="s">
        <v>93</v>
      </c>
      <c r="D26" s="96">
        <v>0</v>
      </c>
      <c r="E26" s="96">
        <v>0</v>
      </c>
      <c r="F26" s="91" t="s">
        <v>80</v>
      </c>
      <c r="H26" s="25"/>
      <c r="I26" s="25"/>
    </row>
    <row r="27" spans="2:9" ht="31.5" customHeight="1" x14ac:dyDescent="0.25">
      <c r="B27" s="132" t="s">
        <v>94</v>
      </c>
      <c r="C27" s="88" t="s">
        <v>95</v>
      </c>
      <c r="D27" s="96">
        <v>0</v>
      </c>
      <c r="E27" s="96">
        <v>0</v>
      </c>
      <c r="F27" s="91" t="s">
        <v>80</v>
      </c>
      <c r="H27" s="25"/>
      <c r="I27" s="25"/>
    </row>
    <row r="28" spans="2:9" ht="30" customHeight="1" x14ac:dyDescent="0.25">
      <c r="B28" s="132" t="s">
        <v>96</v>
      </c>
      <c r="C28" s="88" t="s">
        <v>97</v>
      </c>
      <c r="D28" s="96">
        <v>0</v>
      </c>
      <c r="E28" s="96">
        <v>0</v>
      </c>
      <c r="F28" s="91" t="s">
        <v>80</v>
      </c>
      <c r="H28" s="25"/>
      <c r="I28" s="25"/>
    </row>
    <row r="29" spans="2:9" ht="15.95" customHeight="1" x14ac:dyDescent="0.25">
      <c r="B29" s="132" t="s">
        <v>98</v>
      </c>
      <c r="C29" s="132" t="s">
        <v>99</v>
      </c>
      <c r="D29" s="96">
        <v>0</v>
      </c>
      <c r="E29" s="96">
        <v>0</v>
      </c>
      <c r="F29" s="91" t="s">
        <v>80</v>
      </c>
      <c r="H29" s="25"/>
      <c r="I29" s="25"/>
    </row>
    <row r="32" spans="2:9" x14ac:dyDescent="0.25">
      <c r="C32" s="264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E9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N20"/>
  <sheetViews>
    <sheetView workbookViewId="0"/>
  </sheetViews>
  <sheetFormatPr defaultColWidth="8.85546875" defaultRowHeight="15" x14ac:dyDescent="0.25"/>
  <cols>
    <col min="1" max="2" width="8.85546875" style="13"/>
    <col min="3" max="3" width="47.5703125" style="13" customWidth="1"/>
    <col min="4" max="4" width="12.42578125" style="13" customWidth="1"/>
    <col min="5" max="5" width="11.7109375" style="13" customWidth="1"/>
    <col min="6" max="6" width="11.85546875" style="13" bestFit="1" customWidth="1"/>
    <col min="7" max="7" width="10.28515625" style="13" customWidth="1"/>
    <col min="8" max="8" width="10.5703125" style="13" customWidth="1"/>
    <col min="9" max="9" width="8.85546875" style="13"/>
    <col min="10" max="10" width="11.7109375" style="13" bestFit="1" customWidth="1"/>
    <col min="11" max="11" width="8.85546875" style="13"/>
    <col min="12" max="12" width="10.140625" style="13" bestFit="1" customWidth="1"/>
    <col min="13" max="13" width="8.85546875" style="13"/>
    <col min="14" max="14" width="10.140625" style="13" bestFit="1" customWidth="1"/>
    <col min="15" max="16384" width="8.85546875" style="13"/>
  </cols>
  <sheetData>
    <row r="3" spans="2:14" ht="16.5" thickBot="1" x14ac:dyDescent="0.3">
      <c r="B3" s="136"/>
      <c r="C3" s="137"/>
      <c r="D3" s="137"/>
      <c r="E3" s="137"/>
      <c r="F3" s="137"/>
      <c r="G3" s="137"/>
      <c r="H3" s="138" t="s">
        <v>263</v>
      </c>
    </row>
    <row r="4" spans="2:14" ht="24.95" customHeight="1" thickTop="1" x14ac:dyDescent="0.25">
      <c r="B4" s="454" t="s">
        <v>1316</v>
      </c>
      <c r="C4" s="454"/>
      <c r="D4" s="454"/>
      <c r="E4" s="454"/>
      <c r="F4" s="454"/>
      <c r="G4" s="454"/>
      <c r="H4" s="454"/>
    </row>
    <row r="5" spans="2:14" ht="15.75" x14ac:dyDescent="0.25">
      <c r="B5" s="448" t="s">
        <v>100</v>
      </c>
      <c r="C5" s="450" t="s">
        <v>300</v>
      </c>
      <c r="D5" s="455" t="s">
        <v>601</v>
      </c>
      <c r="E5" s="455"/>
      <c r="F5" s="450" t="s">
        <v>602</v>
      </c>
      <c r="G5" s="450"/>
      <c r="H5" s="84" t="s">
        <v>1</v>
      </c>
    </row>
    <row r="6" spans="2:14" ht="15.75" x14ac:dyDescent="0.25">
      <c r="B6" s="448"/>
      <c r="C6" s="450"/>
      <c r="D6" s="84" t="s">
        <v>2</v>
      </c>
      <c r="E6" s="84" t="s">
        <v>20</v>
      </c>
      <c r="F6" s="84" t="s">
        <v>228</v>
      </c>
      <c r="G6" s="84" t="s">
        <v>115</v>
      </c>
      <c r="H6" s="117" t="s">
        <v>333</v>
      </c>
    </row>
    <row r="7" spans="2:14" s="35" customFormat="1" ht="12.75" x14ac:dyDescent="0.2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4" ht="21.75" customHeight="1" x14ac:dyDescent="0.25">
      <c r="B8" s="87" t="s">
        <v>247</v>
      </c>
      <c r="C8" s="88" t="s">
        <v>101</v>
      </c>
      <c r="D8" s="89">
        <v>17505776</v>
      </c>
      <c r="E8" s="90">
        <f>D8/D12*100</f>
        <v>91.976582397329423</v>
      </c>
      <c r="F8" s="89">
        <v>18016531</v>
      </c>
      <c r="G8" s="90">
        <f>F8/F12*100</f>
        <v>91.737293033252882</v>
      </c>
      <c r="H8" s="91">
        <f>F8/D8*100</f>
        <v>102.91763701306358</v>
      </c>
      <c r="I8" s="15"/>
      <c r="J8" s="42"/>
      <c r="L8" s="15"/>
      <c r="N8" s="15"/>
    </row>
    <row r="9" spans="2:14" ht="20.25" customHeight="1" x14ac:dyDescent="0.25">
      <c r="B9" s="87" t="s">
        <v>248</v>
      </c>
      <c r="C9" s="88" t="s">
        <v>299</v>
      </c>
      <c r="D9" s="89">
        <v>0</v>
      </c>
      <c r="E9" s="90">
        <v>0</v>
      </c>
      <c r="F9" s="89">
        <v>0</v>
      </c>
      <c r="G9" s="90">
        <v>0</v>
      </c>
      <c r="H9" s="91" t="s">
        <v>80</v>
      </c>
      <c r="I9" s="15"/>
      <c r="J9" s="42"/>
    </row>
    <row r="10" spans="2:14" ht="22.5" customHeight="1" x14ac:dyDescent="0.25">
      <c r="B10" s="87" t="s">
        <v>249</v>
      </c>
      <c r="C10" s="88" t="s">
        <v>102</v>
      </c>
      <c r="D10" s="89">
        <v>175428</v>
      </c>
      <c r="E10" s="90">
        <f>D10/D12*100</f>
        <v>0.92171109105924265</v>
      </c>
      <c r="F10" s="89">
        <v>85874</v>
      </c>
      <c r="G10" s="90">
        <f>F10/F12*100</f>
        <v>0.43725666733166096</v>
      </c>
      <c r="H10" s="91">
        <f t="shared" ref="H10:H12" si="0">F10/D10*100</f>
        <v>48.951136648653574</v>
      </c>
      <c r="I10" s="15"/>
      <c r="J10" s="42"/>
      <c r="L10" s="15"/>
      <c r="N10" s="15"/>
    </row>
    <row r="11" spans="2:14" ht="21.75" customHeight="1" x14ac:dyDescent="0.25">
      <c r="B11" s="87" t="s">
        <v>250</v>
      </c>
      <c r="C11" s="88" t="s">
        <v>103</v>
      </c>
      <c r="D11" s="89">
        <v>1351658</v>
      </c>
      <c r="E11" s="90">
        <f>D11/D12*100</f>
        <v>7.1017065116113383</v>
      </c>
      <c r="F11" s="89">
        <v>1536861</v>
      </c>
      <c r="G11" s="90">
        <f>F11/F12*100</f>
        <v>7.8254502994154667</v>
      </c>
      <c r="H11" s="91">
        <f t="shared" si="0"/>
        <v>113.70191276195605</v>
      </c>
      <c r="I11" s="15"/>
      <c r="J11" s="42"/>
      <c r="L11" s="15"/>
      <c r="N11" s="15"/>
    </row>
    <row r="12" spans="2:14" ht="25.5" customHeight="1" x14ac:dyDescent="0.25">
      <c r="B12" s="450" t="s">
        <v>104</v>
      </c>
      <c r="C12" s="450"/>
      <c r="D12" s="92">
        <f t="shared" ref="D12:G12" si="1">SUM(D8:D11)</f>
        <v>19032862</v>
      </c>
      <c r="E12" s="84">
        <f t="shared" si="1"/>
        <v>100</v>
      </c>
      <c r="F12" s="92">
        <f t="shared" si="1"/>
        <v>19639266</v>
      </c>
      <c r="G12" s="93">
        <f t="shared" si="1"/>
        <v>100.00000000000001</v>
      </c>
      <c r="H12" s="93">
        <f t="shared" si="0"/>
        <v>103.18608940683751</v>
      </c>
      <c r="I12" s="15"/>
      <c r="J12" s="42"/>
      <c r="L12" s="15"/>
      <c r="N12" s="15"/>
    </row>
    <row r="13" spans="2:14" x14ac:dyDescent="0.25">
      <c r="H13" s="16"/>
    </row>
    <row r="14" spans="2:14" x14ac:dyDescent="0.25">
      <c r="B14" s="135"/>
      <c r="D14" s="294"/>
    </row>
    <row r="15" spans="2:14" x14ac:dyDescent="0.25">
      <c r="D15" s="15"/>
      <c r="F15" s="15"/>
    </row>
    <row r="16" spans="2:14" x14ac:dyDescent="0.25">
      <c r="D16" s="15"/>
      <c r="F16" s="15"/>
    </row>
    <row r="17" spans="4:6" x14ac:dyDescent="0.25">
      <c r="D17" s="15"/>
      <c r="F17" s="15"/>
    </row>
    <row r="18" spans="4:6" x14ac:dyDescent="0.25">
      <c r="D18" s="15"/>
      <c r="F18" s="15"/>
    </row>
    <row r="19" spans="4:6" x14ac:dyDescent="0.25">
      <c r="D19" s="15"/>
      <c r="F19" s="15"/>
    </row>
    <row r="20" spans="4:6" x14ac:dyDescent="0.25">
      <c r="D20" s="15"/>
    </row>
  </sheetData>
  <mergeCells count="6">
    <mergeCell ref="B4:H4"/>
    <mergeCell ref="B12:C12"/>
    <mergeCell ref="C5:C6"/>
    <mergeCell ref="F5:G5"/>
    <mergeCell ref="B5:B6"/>
    <mergeCell ref="D5:E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I13"/>
  <sheetViews>
    <sheetView workbookViewId="0"/>
  </sheetViews>
  <sheetFormatPr defaultRowHeight="15" x14ac:dyDescent="0.25"/>
  <cols>
    <col min="3" max="3" width="51.85546875" customWidth="1"/>
    <col min="4" max="4" width="27.85546875" customWidth="1"/>
    <col min="5" max="5" width="23.7109375" customWidth="1"/>
    <col min="7" max="7" width="12.7109375" customWidth="1"/>
    <col min="8" max="8" width="12.42578125" customWidth="1"/>
    <col min="9" max="9" width="11.7109375" bestFit="1" customWidth="1"/>
  </cols>
  <sheetData>
    <row r="2" spans="2:9" ht="15.75" x14ac:dyDescent="0.25">
      <c r="C2" s="1"/>
      <c r="D2" s="1"/>
      <c r="E2" s="1"/>
      <c r="F2" s="1"/>
      <c r="G2" s="1"/>
    </row>
    <row r="3" spans="2:9" ht="16.5" thickBot="1" x14ac:dyDescent="0.3">
      <c r="B3" s="75"/>
      <c r="C3" s="75"/>
      <c r="D3" s="75"/>
      <c r="E3" s="143" t="s">
        <v>262</v>
      </c>
      <c r="F3" s="1"/>
      <c r="G3" s="1"/>
    </row>
    <row r="4" spans="2:9" ht="24.95" customHeight="1" thickTop="1" x14ac:dyDescent="0.25">
      <c r="B4" s="142" t="s">
        <v>1317</v>
      </c>
      <c r="C4" s="142"/>
      <c r="D4" s="139"/>
      <c r="E4" s="139"/>
      <c r="F4" s="1"/>
      <c r="G4" s="1"/>
    </row>
    <row r="5" spans="2:9" ht="15.95" customHeight="1" x14ac:dyDescent="0.25">
      <c r="B5" s="448" t="s">
        <v>100</v>
      </c>
      <c r="C5" s="443" t="s">
        <v>232</v>
      </c>
      <c r="D5" s="455" t="s">
        <v>586</v>
      </c>
      <c r="E5" s="455"/>
      <c r="F5" s="1"/>
      <c r="G5" s="1"/>
    </row>
    <row r="6" spans="2:9" ht="15.95" customHeight="1" x14ac:dyDescent="0.25">
      <c r="B6" s="448"/>
      <c r="C6" s="443"/>
      <c r="D6" s="50" t="s">
        <v>601</v>
      </c>
      <c r="E6" s="118" t="s">
        <v>602</v>
      </c>
      <c r="F6" s="1"/>
      <c r="G6" s="1"/>
    </row>
    <row r="7" spans="2:9" s="33" customFormat="1" ht="15.95" customHeight="1" x14ac:dyDescent="0.2">
      <c r="B7" s="104">
        <v>1</v>
      </c>
      <c r="C7" s="48">
        <v>2</v>
      </c>
      <c r="D7" s="48">
        <v>3</v>
      </c>
      <c r="E7" s="85">
        <v>4</v>
      </c>
      <c r="G7" s="43"/>
      <c r="H7" s="43"/>
      <c r="I7" s="43"/>
    </row>
    <row r="8" spans="2:9" ht="20.100000000000001" customHeight="1" x14ac:dyDescent="0.25">
      <c r="B8" s="98" t="s">
        <v>247</v>
      </c>
      <c r="C8" s="257" t="s">
        <v>105</v>
      </c>
      <c r="D8" s="258">
        <v>0.18284193323997999</v>
      </c>
      <c r="E8" s="277">
        <v>0.18476642660678</v>
      </c>
      <c r="F8" s="1"/>
      <c r="G8" s="32"/>
      <c r="H8" s="22"/>
      <c r="I8" s="23"/>
    </row>
    <row r="9" spans="2:9" ht="20.100000000000001" customHeight="1" x14ac:dyDescent="0.25">
      <c r="B9" s="98" t="s">
        <v>248</v>
      </c>
      <c r="C9" s="83" t="s">
        <v>106</v>
      </c>
      <c r="D9" s="55">
        <v>2195187.8149999999</v>
      </c>
      <c r="E9" s="195">
        <v>2303026.5449999999</v>
      </c>
      <c r="F9" s="1"/>
      <c r="G9" s="40"/>
      <c r="H9" s="14"/>
      <c r="I9" s="23"/>
    </row>
    <row r="10" spans="2:9" ht="20.100000000000001" customHeight="1" x14ac:dyDescent="0.25">
      <c r="B10" s="98" t="s">
        <v>249</v>
      </c>
      <c r="C10" s="257" t="s">
        <v>107</v>
      </c>
      <c r="D10" s="258">
        <v>0.18284193323997999</v>
      </c>
      <c r="E10" s="277">
        <v>0.18476642660678</v>
      </c>
      <c r="F10" s="1"/>
      <c r="G10" s="32"/>
      <c r="H10" s="22"/>
      <c r="I10" s="23"/>
    </row>
    <row r="11" spans="2:9" ht="20.100000000000001" customHeight="1" x14ac:dyDescent="0.25">
      <c r="B11" s="98" t="s">
        <v>250</v>
      </c>
      <c r="C11" s="83" t="s">
        <v>108</v>
      </c>
      <c r="D11" s="55">
        <v>1766948.42</v>
      </c>
      <c r="E11" s="195">
        <v>1861143.06</v>
      </c>
      <c r="F11" s="1"/>
      <c r="G11" s="40"/>
      <c r="H11" s="14"/>
      <c r="I11" s="23"/>
    </row>
    <row r="12" spans="2:9" ht="20.100000000000001" customHeight="1" x14ac:dyDescent="0.25">
      <c r="B12" s="98" t="s">
        <v>251</v>
      </c>
      <c r="C12" s="257" t="s">
        <v>109</v>
      </c>
      <c r="D12" s="258">
        <v>0.19335431483678001</v>
      </c>
      <c r="E12" s="277">
        <v>0.19768758160309999</v>
      </c>
      <c r="F12" s="1"/>
      <c r="G12" s="32"/>
      <c r="H12" s="22"/>
      <c r="I12" s="23"/>
    </row>
    <row r="13" spans="2:9" ht="20.100000000000001" customHeight="1" x14ac:dyDescent="0.25">
      <c r="B13" s="98" t="s">
        <v>252</v>
      </c>
      <c r="C13" s="83" t="s">
        <v>110</v>
      </c>
      <c r="D13" s="55">
        <v>1396037.56</v>
      </c>
      <c r="E13" s="195">
        <v>1525727.08</v>
      </c>
      <c r="F13" s="1"/>
      <c r="G13" s="40"/>
      <c r="H13" s="14"/>
      <c r="I13" s="23"/>
    </row>
  </sheetData>
  <mergeCells count="3">
    <mergeCell ref="D5:E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J11"/>
  <sheetViews>
    <sheetView workbookViewId="0"/>
  </sheetViews>
  <sheetFormatPr defaultRowHeight="15" x14ac:dyDescent="0.25"/>
  <cols>
    <col min="2" max="2" width="8.140625" customWidth="1"/>
    <col min="3" max="3" width="53.85546875" customWidth="1"/>
    <col min="4" max="4" width="16" customWidth="1"/>
    <col min="5" max="5" width="16.42578125" customWidth="1"/>
    <col min="7" max="10" width="10.140625" bestFit="1" customWidth="1"/>
  </cols>
  <sheetData>
    <row r="3" spans="2:10" ht="15" customHeight="1" thickBot="1" x14ac:dyDescent="0.3">
      <c r="B3" s="75"/>
      <c r="C3" s="144"/>
      <c r="D3" s="144"/>
      <c r="E3" s="145" t="s">
        <v>265</v>
      </c>
    </row>
    <row r="4" spans="2:10" ht="24.95" customHeight="1" thickTop="1" x14ac:dyDescent="0.25">
      <c r="B4" s="454" t="s">
        <v>1318</v>
      </c>
      <c r="C4" s="454"/>
      <c r="D4" s="454"/>
      <c r="E4" s="454"/>
    </row>
    <row r="5" spans="2:10" ht="20.100000000000001" customHeight="1" x14ac:dyDescent="0.25">
      <c r="B5" s="118" t="s">
        <v>100</v>
      </c>
      <c r="C5" s="147" t="s">
        <v>111</v>
      </c>
      <c r="D5" s="148" t="s">
        <v>601</v>
      </c>
      <c r="E5" s="147" t="s">
        <v>602</v>
      </c>
    </row>
    <row r="6" spans="2:10" s="34" customFormat="1" ht="14.25" customHeight="1" x14ac:dyDescent="0.2">
      <c r="B6" s="85">
        <v>1</v>
      </c>
      <c r="C6" s="149">
        <v>2</v>
      </c>
      <c r="D6" s="150">
        <v>3</v>
      </c>
      <c r="E6" s="149">
        <v>4</v>
      </c>
    </row>
    <row r="7" spans="2:10" ht="15.75" x14ac:dyDescent="0.25">
      <c r="B7" s="87" t="s">
        <v>247</v>
      </c>
      <c r="C7" s="146" t="s">
        <v>460</v>
      </c>
      <c r="D7" s="89">
        <v>33621410</v>
      </c>
      <c r="E7" s="89">
        <v>33737287</v>
      </c>
      <c r="G7" s="14"/>
      <c r="H7" s="14"/>
      <c r="I7" s="14"/>
      <c r="J7" s="14"/>
    </row>
    <row r="8" spans="2:10" ht="20.100000000000001" customHeight="1" x14ac:dyDescent="0.25">
      <c r="B8" s="87" t="s">
        <v>248</v>
      </c>
      <c r="C8" s="103" t="s">
        <v>59</v>
      </c>
      <c r="D8" s="89">
        <v>3479906</v>
      </c>
      <c r="E8" s="89">
        <v>3628677</v>
      </c>
      <c r="G8" s="14"/>
      <c r="H8" s="14"/>
      <c r="I8" s="14"/>
      <c r="J8" s="14"/>
    </row>
    <row r="9" spans="2:10" ht="19.5" customHeight="1" x14ac:dyDescent="0.25">
      <c r="B9" s="108"/>
      <c r="C9" s="116" t="s">
        <v>461</v>
      </c>
      <c r="D9" s="151">
        <f>D8/D7</f>
        <v>0.10350267879901527</v>
      </c>
      <c r="E9" s="151">
        <f>E8/E7</f>
        <v>0.10755687023677986</v>
      </c>
      <c r="G9" s="22"/>
      <c r="H9" s="22"/>
      <c r="I9" s="22"/>
      <c r="J9" s="22"/>
    </row>
    <row r="11" spans="2:10" x14ac:dyDescent="0.25">
      <c r="B11" s="63"/>
      <c r="C11" s="63"/>
    </row>
  </sheetData>
  <mergeCells count="1">
    <mergeCell ref="B4:E4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3:R18"/>
  <sheetViews>
    <sheetView workbookViewId="0"/>
  </sheetViews>
  <sheetFormatPr defaultColWidth="9.140625" defaultRowHeight="15" x14ac:dyDescent="0.25"/>
  <cols>
    <col min="3" max="3" width="46" customWidth="1"/>
    <col min="4" max="4" width="15" customWidth="1"/>
    <col min="5" max="5" width="11.5703125" customWidth="1"/>
    <col min="6" max="6" width="9.5703125" customWidth="1"/>
    <col min="7" max="7" width="14.85546875" customWidth="1"/>
    <col min="8" max="8" width="12.85546875" customWidth="1"/>
    <col min="9" max="9" width="10.28515625" customWidth="1"/>
    <col min="11" max="11" width="10.85546875" bestFit="1" customWidth="1"/>
    <col min="12" max="12" width="10.5703125" customWidth="1"/>
    <col min="14" max="15" width="10.140625" bestFit="1" customWidth="1"/>
    <col min="17" max="17" width="10.140625" bestFit="1" customWidth="1"/>
  </cols>
  <sheetData>
    <row r="3" spans="2:18" ht="16.5" thickBot="1" x14ac:dyDescent="0.3">
      <c r="B3" s="47"/>
      <c r="C3" s="47"/>
      <c r="D3" s="68"/>
      <c r="E3" s="68"/>
      <c r="F3" s="68"/>
      <c r="G3" s="68"/>
      <c r="H3" s="68"/>
      <c r="I3" s="153" t="s">
        <v>262</v>
      </c>
    </row>
    <row r="4" spans="2:18" ht="24.95" customHeight="1" thickTop="1" x14ac:dyDescent="0.25">
      <c r="B4" s="454" t="s">
        <v>1319</v>
      </c>
      <c r="C4" s="454"/>
      <c r="D4" s="454"/>
      <c r="E4" s="454"/>
      <c r="F4" s="454"/>
      <c r="G4" s="454"/>
      <c r="H4" s="454"/>
      <c r="I4" s="454"/>
    </row>
    <row r="5" spans="2:18" ht="15.75" x14ac:dyDescent="0.25">
      <c r="B5" s="448" t="s">
        <v>100</v>
      </c>
      <c r="C5" s="450" t="s">
        <v>56</v>
      </c>
      <c r="D5" s="450" t="s">
        <v>601</v>
      </c>
      <c r="E5" s="450"/>
      <c r="F5" s="450"/>
      <c r="G5" s="450" t="s">
        <v>602</v>
      </c>
      <c r="H5" s="450"/>
      <c r="I5" s="450"/>
    </row>
    <row r="6" spans="2:18" ht="15.75" x14ac:dyDescent="0.25">
      <c r="B6" s="448"/>
      <c r="C6" s="450"/>
      <c r="D6" s="84" t="s">
        <v>2</v>
      </c>
      <c r="E6" s="84" t="s">
        <v>302</v>
      </c>
      <c r="F6" s="84" t="s">
        <v>303</v>
      </c>
      <c r="G6" s="84" t="s">
        <v>2</v>
      </c>
      <c r="H6" s="84" t="s">
        <v>302</v>
      </c>
      <c r="I6" s="84" t="s">
        <v>303</v>
      </c>
    </row>
    <row r="7" spans="2:18" ht="13.5" customHeight="1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  <c r="I7" s="86">
        <v>8</v>
      </c>
    </row>
    <row r="8" spans="2:18" ht="15.95" customHeight="1" x14ac:dyDescent="0.25">
      <c r="B8" s="98" t="s">
        <v>247</v>
      </c>
      <c r="C8" s="53" t="s">
        <v>512</v>
      </c>
      <c r="D8" s="89">
        <v>6783703</v>
      </c>
      <c r="E8" s="89">
        <v>10475</v>
      </c>
      <c r="F8" s="90">
        <f>E8/D8*100</f>
        <v>0.1544141894183752</v>
      </c>
      <c r="G8" s="89">
        <v>6209705</v>
      </c>
      <c r="H8" s="89">
        <v>10784</v>
      </c>
      <c r="I8" s="90">
        <f>H8/G8*100</f>
        <v>0.17366364424719047</v>
      </c>
      <c r="K8" s="14"/>
      <c r="L8" s="26"/>
      <c r="N8" s="14"/>
      <c r="O8" s="14"/>
      <c r="Q8" s="14"/>
      <c r="R8" s="14"/>
    </row>
    <row r="9" spans="2:18" ht="16.5" customHeight="1" x14ac:dyDescent="0.25">
      <c r="B9" s="98" t="s">
        <v>248</v>
      </c>
      <c r="C9" s="53" t="s">
        <v>385</v>
      </c>
      <c r="D9" s="89">
        <v>24239327</v>
      </c>
      <c r="E9" s="89">
        <v>904443</v>
      </c>
      <c r="F9" s="90">
        <f t="shared" ref="F9:F18" si="0">E9/D9*100</f>
        <v>3.7313040910748061</v>
      </c>
      <c r="G9" s="89">
        <v>24839089</v>
      </c>
      <c r="H9" s="89">
        <v>902165</v>
      </c>
      <c r="I9" s="90">
        <f t="shared" ref="I9:I11" si="1">H9/G9*100</f>
        <v>3.6320373907432755</v>
      </c>
      <c r="K9" s="14"/>
      <c r="L9" s="26"/>
      <c r="N9" s="14"/>
      <c r="O9" s="14"/>
      <c r="Q9" s="14"/>
      <c r="R9" s="14"/>
    </row>
    <row r="10" spans="2:18" ht="15.95" customHeight="1" x14ac:dyDescent="0.25">
      <c r="B10" s="98" t="s">
        <v>249</v>
      </c>
      <c r="C10" s="53" t="s">
        <v>344</v>
      </c>
      <c r="D10" s="89">
        <v>1257719</v>
      </c>
      <c r="E10" s="89">
        <v>0</v>
      </c>
      <c r="F10" s="90">
        <f t="shared" si="0"/>
        <v>0</v>
      </c>
      <c r="G10" s="89">
        <v>1259706</v>
      </c>
      <c r="H10" s="89">
        <v>0</v>
      </c>
      <c r="I10" s="90">
        <f t="shared" si="1"/>
        <v>0</v>
      </c>
      <c r="K10" s="14"/>
      <c r="L10" s="26"/>
      <c r="N10" s="14"/>
      <c r="Q10" s="14"/>
    </row>
    <row r="11" spans="2:18" ht="15.95" customHeight="1" x14ac:dyDescent="0.25">
      <c r="B11" s="98" t="s">
        <v>250</v>
      </c>
      <c r="C11" s="53" t="s">
        <v>513</v>
      </c>
      <c r="D11" s="89">
        <v>42581</v>
      </c>
      <c r="E11" s="89">
        <v>2110</v>
      </c>
      <c r="F11" s="90">
        <f t="shared" si="0"/>
        <v>4.9552617364552267</v>
      </c>
      <c r="G11" s="89">
        <v>42319</v>
      </c>
      <c r="H11" s="89">
        <v>2008</v>
      </c>
      <c r="I11" s="90">
        <f t="shared" si="1"/>
        <v>4.7449136321746739</v>
      </c>
      <c r="K11" s="14"/>
      <c r="L11" s="26"/>
      <c r="N11" s="14"/>
      <c r="O11" s="14"/>
      <c r="Q11" s="14"/>
      <c r="R11" s="14"/>
    </row>
    <row r="12" spans="2:18" ht="20.25" customHeight="1" x14ac:dyDescent="0.25">
      <c r="B12" s="443" t="s">
        <v>349</v>
      </c>
      <c r="C12" s="443"/>
      <c r="D12" s="92">
        <f>SUM(D8:D11)</f>
        <v>32323330</v>
      </c>
      <c r="E12" s="92">
        <f>SUM(E8:E11)</f>
        <v>917028</v>
      </c>
      <c r="F12" s="152">
        <f t="shared" si="0"/>
        <v>2.8370468017991959</v>
      </c>
      <c r="G12" s="92">
        <f>SUM(G8:G11)</f>
        <v>32350819</v>
      </c>
      <c r="H12" s="92">
        <f>SUM(H8:H11)</f>
        <v>914957</v>
      </c>
      <c r="I12" s="152">
        <f>H12/G12*100</f>
        <v>2.8282344258425112</v>
      </c>
      <c r="K12" s="14"/>
      <c r="L12" s="26"/>
      <c r="Q12" s="14"/>
      <c r="R12" s="14"/>
    </row>
    <row r="13" spans="2:18" ht="15.95" customHeight="1" x14ac:dyDescent="0.25">
      <c r="B13" s="98" t="s">
        <v>251</v>
      </c>
      <c r="C13" s="53" t="s">
        <v>345</v>
      </c>
      <c r="D13" s="89">
        <v>1881013</v>
      </c>
      <c r="E13" s="89">
        <v>29731</v>
      </c>
      <c r="F13" s="90">
        <f t="shared" si="0"/>
        <v>1.5805845042006619</v>
      </c>
      <c r="G13" s="89">
        <v>1881205</v>
      </c>
      <c r="H13" s="89">
        <v>28574</v>
      </c>
      <c r="I13" s="90">
        <f>H13/G13*100</f>
        <v>1.5189200539016214</v>
      </c>
      <c r="K13" s="14"/>
      <c r="L13" s="26"/>
      <c r="Q13" s="14"/>
      <c r="R13" s="14"/>
    </row>
    <row r="14" spans="2:18" ht="15.95" customHeight="1" x14ac:dyDescent="0.25">
      <c r="B14" s="98" t="s">
        <v>252</v>
      </c>
      <c r="C14" s="53" t="s">
        <v>346</v>
      </c>
      <c r="D14" s="89">
        <v>71234</v>
      </c>
      <c r="E14" s="89">
        <v>869</v>
      </c>
      <c r="F14" s="90">
        <f t="shared" si="0"/>
        <v>1.219923070443889</v>
      </c>
      <c r="G14" s="89">
        <v>51444</v>
      </c>
      <c r="H14" s="89">
        <v>396</v>
      </c>
      <c r="I14" s="90">
        <f t="shared" ref="I14:I16" si="2">H14/G14*100</f>
        <v>0.76976906927921618</v>
      </c>
      <c r="K14" s="14"/>
      <c r="L14" s="26"/>
      <c r="Q14" s="14"/>
      <c r="R14" s="14"/>
    </row>
    <row r="15" spans="2:18" ht="15.95" customHeight="1" x14ac:dyDescent="0.25">
      <c r="B15" s="98" t="s">
        <v>253</v>
      </c>
      <c r="C15" s="53" t="s">
        <v>347</v>
      </c>
      <c r="D15" s="89">
        <v>2638070</v>
      </c>
      <c r="E15" s="89">
        <v>22261</v>
      </c>
      <c r="F15" s="90">
        <f t="shared" si="0"/>
        <v>0.84383659266054345</v>
      </c>
      <c r="G15" s="89">
        <v>2312390</v>
      </c>
      <c r="H15" s="89">
        <v>22582</v>
      </c>
      <c r="I15" s="90">
        <f t="shared" si="2"/>
        <v>0.97656537175822411</v>
      </c>
      <c r="K15" s="14"/>
      <c r="L15" s="26"/>
      <c r="M15" s="14"/>
      <c r="N15" s="14"/>
      <c r="O15" s="14"/>
      <c r="Q15" s="14"/>
      <c r="R15" s="14"/>
    </row>
    <row r="16" spans="2:18" ht="15.95" customHeight="1" x14ac:dyDescent="0.25">
      <c r="B16" s="98" t="s">
        <v>254</v>
      </c>
      <c r="C16" s="53" t="s">
        <v>348</v>
      </c>
      <c r="D16" s="89">
        <v>790501</v>
      </c>
      <c r="E16" s="89">
        <v>6149</v>
      </c>
      <c r="F16" s="90">
        <f t="shared" si="0"/>
        <v>0.77786112857542244</v>
      </c>
      <c r="G16" s="89">
        <v>1150404</v>
      </c>
      <c r="H16" s="89">
        <v>7876</v>
      </c>
      <c r="I16" s="90">
        <f t="shared" si="2"/>
        <v>0.68462905205475644</v>
      </c>
      <c r="K16" s="14"/>
      <c r="L16" s="26"/>
      <c r="N16" s="14"/>
      <c r="Q16" s="14"/>
      <c r="R16" s="14"/>
    </row>
    <row r="17" spans="2:18" s="24" customFormat="1" ht="20.25" customHeight="1" x14ac:dyDescent="0.25">
      <c r="B17" s="443" t="s">
        <v>350</v>
      </c>
      <c r="C17" s="443"/>
      <c r="D17" s="92">
        <f>SUM(D13:D16)</f>
        <v>5380818</v>
      </c>
      <c r="E17" s="92">
        <f>SUM(E13:E16)</f>
        <v>59010</v>
      </c>
      <c r="F17" s="152">
        <f t="shared" si="0"/>
        <v>1.0966734054190275</v>
      </c>
      <c r="G17" s="92">
        <f>SUM(G13:G16)</f>
        <v>5395443</v>
      </c>
      <c r="H17" s="92">
        <f>SUM(H13:H16)</f>
        <v>59428</v>
      </c>
      <c r="I17" s="152">
        <f>H17/G17*100</f>
        <v>1.1014480182628192</v>
      </c>
      <c r="K17" s="14"/>
      <c r="L17" s="26"/>
      <c r="N17" s="46"/>
      <c r="O17" s="46"/>
      <c r="Q17" s="46"/>
      <c r="R17" s="46"/>
    </row>
    <row r="18" spans="2:18" ht="21" customHeight="1" x14ac:dyDescent="0.25">
      <c r="B18" s="443" t="s">
        <v>301</v>
      </c>
      <c r="C18" s="443"/>
      <c r="D18" s="92">
        <f>D12+D17</f>
        <v>37704148</v>
      </c>
      <c r="E18" s="92">
        <f>E12+E17</f>
        <v>976038</v>
      </c>
      <c r="F18" s="152">
        <f t="shared" si="0"/>
        <v>2.5886753892436452</v>
      </c>
      <c r="G18" s="92">
        <f>G12+G17</f>
        <v>37746262</v>
      </c>
      <c r="H18" s="92">
        <f>H12+H17</f>
        <v>974385</v>
      </c>
      <c r="I18" s="152">
        <f>H18/G18*100</f>
        <v>2.5814079285519718</v>
      </c>
      <c r="K18" s="14"/>
      <c r="L18" s="26"/>
      <c r="N18" s="14"/>
      <c r="O18" s="14"/>
      <c r="Q18" s="14"/>
      <c r="R18" s="14"/>
    </row>
  </sheetData>
  <mergeCells count="8">
    <mergeCell ref="B5:B6"/>
    <mergeCell ref="B4:I4"/>
    <mergeCell ref="B12:C12"/>
    <mergeCell ref="B17:C17"/>
    <mergeCell ref="B18:C18"/>
    <mergeCell ref="C5:C6"/>
    <mergeCell ref="D5:F5"/>
    <mergeCell ref="G5:I5"/>
  </mergeCells>
  <pageMargins left="0.7" right="0.7" top="0.75" bottom="0.75" header="0.3" footer="0.3"/>
  <pageSetup scale="74" fitToHeight="0" orientation="landscape" r:id="rId1"/>
  <ignoredErrors>
    <ignoredError sqref="D12:E12 G12:H12" formulaRange="1"/>
    <ignoredError sqref="F12 F17 F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85AB-6266-4A05-AF1D-6B5C2DC5B4B7}">
  <dimension ref="B3:N20"/>
  <sheetViews>
    <sheetView workbookViewId="0"/>
  </sheetViews>
  <sheetFormatPr defaultRowHeight="15" x14ac:dyDescent="0.25"/>
  <cols>
    <col min="2" max="2" width="8.42578125" customWidth="1"/>
    <col min="3" max="3" width="33.42578125" customWidth="1"/>
    <col min="4" max="4" width="28.85546875" customWidth="1"/>
    <col min="5" max="5" width="22.5703125" customWidth="1"/>
    <col min="6" max="6" width="12.28515625" customWidth="1"/>
    <col min="7" max="7" width="16.42578125" customWidth="1"/>
    <col min="8" max="8" width="12.42578125" customWidth="1"/>
    <col min="9" max="10" width="17.7109375" customWidth="1"/>
    <col min="11" max="12" width="14.85546875" customWidth="1"/>
    <col min="13" max="13" width="16.28515625" customWidth="1"/>
    <col min="14" max="14" width="12.28515625" customWidth="1"/>
  </cols>
  <sheetData>
    <row r="3" spans="2:14" ht="15.75" thickBot="1" x14ac:dyDescent="0.3"/>
    <row r="4" spans="2:14" ht="16.5" customHeight="1" thickTop="1" x14ac:dyDescent="0.25">
      <c r="B4" s="445" t="s">
        <v>675</v>
      </c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</row>
    <row r="5" spans="2:14" ht="39.75" customHeight="1" x14ac:dyDescent="0.25">
      <c r="B5" s="50" t="s">
        <v>100</v>
      </c>
      <c r="C5" s="443" t="s">
        <v>674</v>
      </c>
      <c r="D5" s="443" t="s">
        <v>628</v>
      </c>
      <c r="E5" s="443" t="s">
        <v>629</v>
      </c>
      <c r="F5" s="443" t="s">
        <v>13</v>
      </c>
      <c r="G5" s="443" t="s">
        <v>670</v>
      </c>
      <c r="H5" s="443"/>
      <c r="I5" s="443" t="s">
        <v>672</v>
      </c>
      <c r="J5" s="443"/>
      <c r="K5" s="443" t="s">
        <v>673</v>
      </c>
      <c r="L5" s="443"/>
      <c r="M5" s="443" t="s">
        <v>671</v>
      </c>
      <c r="N5" s="443"/>
    </row>
    <row r="6" spans="2:14" ht="13.5" customHeight="1" x14ac:dyDescent="0.25">
      <c r="B6" s="50"/>
      <c r="C6" s="443"/>
      <c r="D6" s="443"/>
      <c r="E6" s="443"/>
      <c r="F6" s="443"/>
      <c r="G6" s="50" t="s">
        <v>2</v>
      </c>
      <c r="H6" s="50" t="s">
        <v>32</v>
      </c>
      <c r="I6" s="50" t="s">
        <v>2</v>
      </c>
      <c r="J6" s="50" t="s">
        <v>32</v>
      </c>
      <c r="K6" s="50" t="s">
        <v>2</v>
      </c>
      <c r="L6" s="50" t="s">
        <v>32</v>
      </c>
      <c r="M6" s="50" t="s">
        <v>2</v>
      </c>
      <c r="N6" s="50" t="s">
        <v>32</v>
      </c>
    </row>
    <row r="7" spans="2:14" ht="35.1" customHeight="1" x14ac:dyDescent="0.25">
      <c r="B7" s="52" t="s">
        <v>247</v>
      </c>
      <c r="C7" s="53" t="s">
        <v>631</v>
      </c>
      <c r="D7" s="52" t="s">
        <v>645</v>
      </c>
      <c r="E7" s="52" t="s">
        <v>658</v>
      </c>
      <c r="F7" s="55">
        <v>347</v>
      </c>
      <c r="G7" s="195">
        <v>1424033</v>
      </c>
      <c r="H7" s="201">
        <f>G7/G$20%</f>
        <v>4.4337009255323014</v>
      </c>
      <c r="I7" s="195">
        <v>628859</v>
      </c>
      <c r="J7" s="201">
        <f>I7/I$20%</f>
        <v>3.1898100810657186</v>
      </c>
      <c r="K7" s="195">
        <v>1182497</v>
      </c>
      <c r="L7" s="201">
        <f>K7/K$20%</f>
        <v>4.5642819272041315</v>
      </c>
      <c r="M7" s="195">
        <v>3987</v>
      </c>
      <c r="N7" s="201">
        <f>M7/M$20%</f>
        <v>2.6959591041869522</v>
      </c>
    </row>
    <row r="8" spans="2:14" ht="35.1" customHeight="1" x14ac:dyDescent="0.25">
      <c r="B8" s="52" t="s">
        <v>248</v>
      </c>
      <c r="C8" s="53" t="s">
        <v>632</v>
      </c>
      <c r="D8" s="312" t="s">
        <v>646</v>
      </c>
      <c r="E8" s="52" t="s">
        <v>659</v>
      </c>
      <c r="F8" s="55">
        <v>697</v>
      </c>
      <c r="G8" s="195">
        <v>3391211</v>
      </c>
      <c r="H8" s="201">
        <f t="shared" ref="H8:H19" si="0">G8/G$20%</f>
        <v>10.558473960487797</v>
      </c>
      <c r="I8" s="195">
        <v>2187473</v>
      </c>
      <c r="J8" s="201">
        <f t="shared" ref="J8:J19" si="1">I8/I$20%</f>
        <v>11.095688266303052</v>
      </c>
      <c r="K8" s="195">
        <v>2870376</v>
      </c>
      <c r="L8" s="201">
        <f t="shared" ref="L8:L19" si="2">K8/K$20%</f>
        <v>11.079271491665928</v>
      </c>
      <c r="M8" s="195">
        <v>22032</v>
      </c>
      <c r="N8" s="201">
        <f t="shared" ref="N8:N19" si="3">M8/M$20%</f>
        <v>14.897760467380719</v>
      </c>
    </row>
    <row r="9" spans="2:14" ht="35.1" customHeight="1" x14ac:dyDescent="0.25">
      <c r="B9" s="52" t="s">
        <v>249</v>
      </c>
      <c r="C9" s="53" t="s">
        <v>633</v>
      </c>
      <c r="D9" s="313" t="s">
        <v>647</v>
      </c>
      <c r="E9" s="52" t="s">
        <v>660</v>
      </c>
      <c r="F9" s="55">
        <v>417</v>
      </c>
      <c r="G9" s="195">
        <v>1690990</v>
      </c>
      <c r="H9" s="201">
        <f t="shared" si="0"/>
        <v>5.2648667046802045</v>
      </c>
      <c r="I9" s="195">
        <v>1151864</v>
      </c>
      <c r="J9" s="201">
        <f t="shared" si="1"/>
        <v>5.8426887413819042</v>
      </c>
      <c r="K9" s="195">
        <v>1423126</v>
      </c>
      <c r="L9" s="201">
        <f t="shared" si="2"/>
        <v>5.4930780221297022</v>
      </c>
      <c r="M9" s="195">
        <v>7041</v>
      </c>
      <c r="N9" s="201">
        <f t="shared" si="3"/>
        <v>4.7610353781239851</v>
      </c>
    </row>
    <row r="10" spans="2:14" ht="35.1" customHeight="1" x14ac:dyDescent="0.25">
      <c r="B10" s="52" t="s">
        <v>250</v>
      </c>
      <c r="C10" s="53" t="s">
        <v>634</v>
      </c>
      <c r="D10" s="312" t="s">
        <v>648</v>
      </c>
      <c r="E10" s="52" t="s">
        <v>1393</v>
      </c>
      <c r="F10" s="55">
        <v>598</v>
      </c>
      <c r="G10" s="195">
        <v>2903969</v>
      </c>
      <c r="H10" s="201">
        <f t="shared" si="0"/>
        <v>9.0414548279549081</v>
      </c>
      <c r="I10" s="195">
        <v>1939442</v>
      </c>
      <c r="J10" s="201">
        <f t="shared" si="1"/>
        <v>9.8375814661828151</v>
      </c>
      <c r="K10" s="195">
        <v>2228585</v>
      </c>
      <c r="L10" s="201">
        <f t="shared" si="2"/>
        <v>8.602043166907162</v>
      </c>
      <c r="M10" s="195">
        <v>9043</v>
      </c>
      <c r="N10" s="201">
        <f t="shared" si="3"/>
        <v>6.1147625229903708</v>
      </c>
    </row>
    <row r="11" spans="2:14" ht="35.1" customHeight="1" x14ac:dyDescent="0.25">
      <c r="B11" s="52" t="s">
        <v>251</v>
      </c>
      <c r="C11" s="53" t="s">
        <v>635</v>
      </c>
      <c r="D11" s="312" t="s">
        <v>649</v>
      </c>
      <c r="E11" s="52" t="s">
        <v>661</v>
      </c>
      <c r="F11" s="55">
        <v>92</v>
      </c>
      <c r="G11" s="195">
        <v>153011</v>
      </c>
      <c r="H11" s="201">
        <f t="shared" si="0"/>
        <v>0.47639697416887311</v>
      </c>
      <c r="I11" s="195">
        <v>61405</v>
      </c>
      <c r="J11" s="201">
        <f t="shared" si="1"/>
        <v>0.31146932464644772</v>
      </c>
      <c r="K11" s="195">
        <v>119662</v>
      </c>
      <c r="L11" s="201">
        <f t="shared" si="2"/>
        <v>0.46187948381526611</v>
      </c>
      <c r="M11" s="195">
        <v>46</v>
      </c>
      <c r="N11" s="201">
        <f t="shared" si="3"/>
        <v>3.1104619712214645E-2</v>
      </c>
    </row>
    <row r="12" spans="2:14" ht="35.1" customHeight="1" x14ac:dyDescent="0.25">
      <c r="B12" s="52" t="s">
        <v>252</v>
      </c>
      <c r="C12" s="53" t="s">
        <v>636</v>
      </c>
      <c r="D12" s="312" t="s">
        <v>650</v>
      </c>
      <c r="E12" s="52" t="s">
        <v>662</v>
      </c>
      <c r="F12" s="55">
        <v>499</v>
      </c>
      <c r="G12" s="195">
        <v>1967659</v>
      </c>
      <c r="H12" s="201">
        <f t="shared" si="0"/>
        <v>6.1262706197342069</v>
      </c>
      <c r="I12" s="195">
        <v>1333474</v>
      </c>
      <c r="J12" s="201">
        <f t="shared" si="1"/>
        <v>6.7638831726015338</v>
      </c>
      <c r="K12" s="195">
        <v>1608682</v>
      </c>
      <c r="L12" s="201">
        <f t="shared" si="2"/>
        <v>6.2092996254693213</v>
      </c>
      <c r="M12" s="195">
        <v>4999</v>
      </c>
      <c r="N12" s="201">
        <f t="shared" si="3"/>
        <v>3.3802607378556742</v>
      </c>
    </row>
    <row r="13" spans="2:14" ht="35.1" customHeight="1" x14ac:dyDescent="0.25">
      <c r="B13" s="52" t="s">
        <v>253</v>
      </c>
      <c r="C13" s="53" t="s">
        <v>637</v>
      </c>
      <c r="D13" s="312" t="s">
        <v>651</v>
      </c>
      <c r="E13" s="52" t="s">
        <v>663</v>
      </c>
      <c r="F13" s="55">
        <v>214</v>
      </c>
      <c r="G13" s="195">
        <v>673406</v>
      </c>
      <c r="H13" s="201">
        <f t="shared" si="0"/>
        <v>2.0966373710855049</v>
      </c>
      <c r="I13" s="195">
        <v>411813</v>
      </c>
      <c r="J13" s="201">
        <f t="shared" si="1"/>
        <v>2.0888708898400385</v>
      </c>
      <c r="K13" s="195">
        <v>534903</v>
      </c>
      <c r="L13" s="201">
        <f t="shared" si="2"/>
        <v>2.0646547904199939</v>
      </c>
      <c r="M13" s="195">
        <v>3563</v>
      </c>
      <c r="N13" s="201">
        <f t="shared" si="3"/>
        <v>2.409255652926539</v>
      </c>
    </row>
    <row r="14" spans="2:14" ht="35.1" customHeight="1" x14ac:dyDescent="0.25">
      <c r="B14" s="52" t="s">
        <v>254</v>
      </c>
      <c r="C14" s="53" t="s">
        <v>638</v>
      </c>
      <c r="D14" s="312" t="s">
        <v>652</v>
      </c>
      <c r="E14" s="52" t="s">
        <v>664</v>
      </c>
      <c r="F14" s="55">
        <v>248</v>
      </c>
      <c r="G14" s="195">
        <v>1030047</v>
      </c>
      <c r="H14" s="201">
        <f t="shared" si="0"/>
        <v>3.2070326581208231</v>
      </c>
      <c r="I14" s="195">
        <v>714125</v>
      </c>
      <c r="J14" s="201">
        <f t="shared" si="1"/>
        <v>3.6223113991229452</v>
      </c>
      <c r="K14" s="195">
        <v>840454</v>
      </c>
      <c r="L14" s="201">
        <f t="shared" si="2"/>
        <v>3.2440412135053376</v>
      </c>
      <c r="M14" s="195">
        <v>654</v>
      </c>
      <c r="N14" s="201">
        <f t="shared" si="3"/>
        <v>0.44222654982148651</v>
      </c>
    </row>
    <row r="15" spans="2:14" ht="35.1" customHeight="1" x14ac:dyDescent="0.25">
      <c r="B15" s="52" t="s">
        <v>255</v>
      </c>
      <c r="C15" s="53" t="s">
        <v>639</v>
      </c>
      <c r="D15" s="312" t="s">
        <v>653</v>
      </c>
      <c r="E15" s="52" t="s">
        <v>665</v>
      </c>
      <c r="F15" s="55">
        <v>1375</v>
      </c>
      <c r="G15" s="195">
        <v>5578124</v>
      </c>
      <c r="H15" s="201">
        <f t="shared" si="0"/>
        <v>17.36738793380065</v>
      </c>
      <c r="I15" s="195">
        <v>3134980</v>
      </c>
      <c r="J15" s="201">
        <f t="shared" si="1"/>
        <v>15.901801211303976</v>
      </c>
      <c r="K15" s="195">
        <v>4501598</v>
      </c>
      <c r="L15" s="201">
        <f t="shared" si="2"/>
        <v>17.375572534169866</v>
      </c>
      <c r="M15" s="195">
        <v>28546</v>
      </c>
      <c r="N15" s="201">
        <f t="shared" si="3"/>
        <v>19.302445093584332</v>
      </c>
    </row>
    <row r="16" spans="2:14" ht="35.1" customHeight="1" x14ac:dyDescent="0.25">
      <c r="B16" s="52" t="s">
        <v>256</v>
      </c>
      <c r="C16" s="53" t="s">
        <v>640</v>
      </c>
      <c r="D16" s="313" t="s">
        <v>654</v>
      </c>
      <c r="E16" s="52" t="s">
        <v>666</v>
      </c>
      <c r="F16" s="55">
        <v>523</v>
      </c>
      <c r="G16" s="195">
        <v>2345687</v>
      </c>
      <c r="H16" s="201">
        <f t="shared" si="0"/>
        <v>7.3032539434894321</v>
      </c>
      <c r="I16" s="195">
        <v>1654681</v>
      </c>
      <c r="J16" s="201">
        <f t="shared" si="1"/>
        <v>8.3931662499032438</v>
      </c>
      <c r="K16" s="195">
        <v>1903860</v>
      </c>
      <c r="L16" s="201">
        <f t="shared" si="2"/>
        <v>7.3486476413275108</v>
      </c>
      <c r="M16" s="195">
        <v>5121</v>
      </c>
      <c r="N16" s="201">
        <f t="shared" si="3"/>
        <v>3.4627555988315479</v>
      </c>
    </row>
    <row r="17" spans="2:14" ht="35.1" customHeight="1" x14ac:dyDescent="0.25">
      <c r="B17" s="52" t="s">
        <v>257</v>
      </c>
      <c r="C17" s="53" t="s">
        <v>641</v>
      </c>
      <c r="D17" s="312" t="s">
        <v>655</v>
      </c>
      <c r="E17" s="52" t="s">
        <v>667</v>
      </c>
      <c r="F17" s="55">
        <v>1142</v>
      </c>
      <c r="G17" s="195">
        <v>8099934</v>
      </c>
      <c r="H17" s="201">
        <f t="shared" si="0"/>
        <v>25.218997644401888</v>
      </c>
      <c r="I17" s="195">
        <v>4875767</v>
      </c>
      <c r="J17" s="201">
        <f t="shared" si="1"/>
        <v>24.731729576149114</v>
      </c>
      <c r="K17" s="195">
        <v>6439876</v>
      </c>
      <c r="L17" s="201">
        <f t="shared" si="2"/>
        <v>24.857069100585992</v>
      </c>
      <c r="M17" s="195">
        <v>50188</v>
      </c>
      <c r="N17" s="201">
        <f t="shared" si="3"/>
        <v>33.936492480796275</v>
      </c>
    </row>
    <row r="18" spans="2:14" ht="35.1" customHeight="1" x14ac:dyDescent="0.25">
      <c r="B18" s="52" t="s">
        <v>258</v>
      </c>
      <c r="C18" s="53" t="s">
        <v>642</v>
      </c>
      <c r="D18" s="312" t="s">
        <v>656</v>
      </c>
      <c r="E18" s="52" t="s">
        <v>668</v>
      </c>
      <c r="F18" s="55">
        <v>220</v>
      </c>
      <c r="G18" s="195">
        <v>1279426</v>
      </c>
      <c r="H18" s="201">
        <f t="shared" si="0"/>
        <v>3.983469652985633</v>
      </c>
      <c r="I18" s="195">
        <v>566686</v>
      </c>
      <c r="J18" s="201">
        <f t="shared" si="1"/>
        <v>2.8744451706961462</v>
      </c>
      <c r="K18" s="195">
        <v>1080478</v>
      </c>
      <c r="L18" s="201">
        <f t="shared" si="2"/>
        <v>4.1705020884971935</v>
      </c>
      <c r="M18" s="195">
        <v>3179</v>
      </c>
      <c r="N18" s="201">
        <f t="shared" si="3"/>
        <v>2.1495996970680515</v>
      </c>
    </row>
    <row r="19" spans="2:14" ht="35.1" customHeight="1" x14ac:dyDescent="0.25">
      <c r="B19" s="52" t="s">
        <v>630</v>
      </c>
      <c r="C19" s="53" t="s">
        <v>643</v>
      </c>
      <c r="D19" s="313" t="s">
        <v>657</v>
      </c>
      <c r="E19" s="52" t="s">
        <v>669</v>
      </c>
      <c r="F19" s="55">
        <v>348</v>
      </c>
      <c r="G19" s="195">
        <v>1580885</v>
      </c>
      <c r="H19" s="201">
        <f t="shared" si="0"/>
        <v>4.9220567835577764</v>
      </c>
      <c r="I19" s="195">
        <v>1054053</v>
      </c>
      <c r="J19" s="201">
        <f t="shared" si="1"/>
        <v>5.3465544508030636</v>
      </c>
      <c r="K19" s="195">
        <v>1173527</v>
      </c>
      <c r="L19" s="201">
        <f t="shared" si="2"/>
        <v>4.5296589143026011</v>
      </c>
      <c r="M19" s="195">
        <v>9489</v>
      </c>
      <c r="N19" s="201">
        <f t="shared" si="3"/>
        <v>6.4163420967218432</v>
      </c>
    </row>
    <row r="20" spans="2:14" ht="35.1" customHeight="1" x14ac:dyDescent="0.25">
      <c r="B20" s="311"/>
      <c r="C20" s="49" t="s">
        <v>644</v>
      </c>
      <c r="D20" s="49"/>
      <c r="E20" s="49"/>
      <c r="F20" s="56">
        <f t="shared" ref="F20:N20" si="4">SUM(F7:F19)</f>
        <v>6720</v>
      </c>
      <c r="G20" s="56">
        <f t="shared" si="4"/>
        <v>32118382</v>
      </c>
      <c r="H20" s="59">
        <f t="shared" si="4"/>
        <v>100.00000000000001</v>
      </c>
      <c r="I20" s="56">
        <f t="shared" si="4"/>
        <v>19714622</v>
      </c>
      <c r="J20" s="59">
        <f t="shared" si="4"/>
        <v>100.00000000000001</v>
      </c>
      <c r="K20" s="56">
        <f t="shared" si="4"/>
        <v>25907624</v>
      </c>
      <c r="L20" s="59">
        <f t="shared" si="4"/>
        <v>100</v>
      </c>
      <c r="M20" s="56">
        <f t="shared" si="4"/>
        <v>147888</v>
      </c>
      <c r="N20" s="59">
        <f t="shared" si="4"/>
        <v>100</v>
      </c>
    </row>
  </sheetData>
  <mergeCells count="9">
    <mergeCell ref="B4:N4"/>
    <mergeCell ref="C5:C6"/>
    <mergeCell ref="D5:D6"/>
    <mergeCell ref="E5:E6"/>
    <mergeCell ref="F5:F6"/>
    <mergeCell ref="G5:H5"/>
    <mergeCell ref="I5:J5"/>
    <mergeCell ref="K5:L5"/>
    <mergeCell ref="M5:N5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R28"/>
  <sheetViews>
    <sheetView workbookViewId="0">
      <selection activeCell="M22" sqref="M22"/>
    </sheetView>
  </sheetViews>
  <sheetFormatPr defaultRowHeight="15" x14ac:dyDescent="0.25"/>
  <cols>
    <col min="3" max="3" width="45.5703125" bestFit="1" customWidth="1"/>
    <col min="4" max="4" width="12.42578125" bestFit="1" customWidth="1"/>
    <col min="5" max="5" width="10.140625" bestFit="1" customWidth="1"/>
    <col min="7" max="7" width="11.28515625" bestFit="1" customWidth="1"/>
    <col min="8" max="8" width="10.140625" bestFit="1" customWidth="1"/>
    <col min="11" max="11" width="11.7109375" bestFit="1" customWidth="1"/>
    <col min="12" max="12" width="11.7109375" style="26" bestFit="1" customWidth="1"/>
    <col min="13" max="13" width="12.85546875" style="26" customWidth="1"/>
    <col min="14" max="14" width="10.7109375" customWidth="1"/>
    <col min="15" max="15" width="10.140625" bestFit="1" customWidth="1"/>
  </cols>
  <sheetData>
    <row r="3" spans="2:18" ht="16.5" thickBot="1" x14ac:dyDescent="0.3">
      <c r="B3" s="47"/>
      <c r="C3" s="47"/>
      <c r="D3" s="68"/>
      <c r="E3" s="68"/>
      <c r="F3" s="68"/>
      <c r="G3" s="68"/>
      <c r="H3" s="154"/>
      <c r="I3" s="153" t="s">
        <v>262</v>
      </c>
    </row>
    <row r="4" spans="2:18" ht="24.95" customHeight="1" thickTop="1" x14ac:dyDescent="0.25">
      <c r="B4" s="454" t="s">
        <v>1320</v>
      </c>
      <c r="C4" s="454"/>
      <c r="D4" s="454"/>
      <c r="E4" s="454"/>
      <c r="F4" s="454"/>
      <c r="G4" s="454"/>
      <c r="H4" s="454"/>
      <c r="I4" s="454"/>
    </row>
    <row r="5" spans="2:18" ht="15.75" x14ac:dyDescent="0.25">
      <c r="B5" s="448" t="s">
        <v>100</v>
      </c>
      <c r="C5" s="450" t="s">
        <v>56</v>
      </c>
      <c r="D5" s="450" t="s">
        <v>601</v>
      </c>
      <c r="E5" s="450"/>
      <c r="F5" s="450"/>
      <c r="G5" s="450" t="s">
        <v>602</v>
      </c>
      <c r="H5" s="450"/>
      <c r="I5" s="450"/>
    </row>
    <row r="6" spans="2:18" ht="15.75" x14ac:dyDescent="0.25">
      <c r="B6" s="448"/>
      <c r="C6" s="450"/>
      <c r="D6" s="84" t="s">
        <v>2</v>
      </c>
      <c r="E6" s="84" t="s">
        <v>302</v>
      </c>
      <c r="F6" s="84" t="s">
        <v>303</v>
      </c>
      <c r="G6" s="84" t="s">
        <v>2</v>
      </c>
      <c r="H6" s="84" t="s">
        <v>302</v>
      </c>
      <c r="I6" s="84" t="s">
        <v>303</v>
      </c>
    </row>
    <row r="7" spans="2:18" s="33" customFormat="1" ht="12.75" x14ac:dyDescent="0.2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  <c r="I7" s="86">
        <v>8</v>
      </c>
    </row>
    <row r="8" spans="2:18" ht="20.100000000000001" customHeight="1" x14ac:dyDescent="0.25">
      <c r="B8" s="98" t="s">
        <v>247</v>
      </c>
      <c r="C8" s="53" t="s">
        <v>304</v>
      </c>
      <c r="D8" s="89">
        <v>29970532</v>
      </c>
      <c r="E8" s="89">
        <v>214065</v>
      </c>
      <c r="F8" s="90">
        <f>E8/D8*100</f>
        <v>0.71425158552407408</v>
      </c>
      <c r="G8" s="89">
        <v>29994344</v>
      </c>
      <c r="H8" s="89">
        <v>223305</v>
      </c>
      <c r="I8" s="90">
        <f>H8/G8*100</f>
        <v>0.7444903612494409</v>
      </c>
      <c r="J8" s="14"/>
      <c r="K8" s="25"/>
      <c r="L8" s="25"/>
      <c r="M8" s="25"/>
      <c r="N8" s="25"/>
    </row>
    <row r="9" spans="2:18" ht="20.100000000000001" customHeight="1" x14ac:dyDescent="0.25">
      <c r="B9" s="98" t="s">
        <v>248</v>
      </c>
      <c r="C9" s="53" t="s">
        <v>305</v>
      </c>
      <c r="D9" s="89">
        <v>1728250</v>
      </c>
      <c r="E9" s="89">
        <v>181397</v>
      </c>
      <c r="F9" s="90">
        <f t="shared" ref="F9:F16" si="0">E9/D9*100</f>
        <v>10.495993056560105</v>
      </c>
      <c r="G9" s="89">
        <v>1744752</v>
      </c>
      <c r="H9" s="89">
        <v>179579</v>
      </c>
      <c r="I9" s="90">
        <f t="shared" ref="I9:I16" si="1">H9/G9*100</f>
        <v>10.292522948820233</v>
      </c>
      <c r="J9" s="14"/>
      <c r="K9" s="25"/>
      <c r="L9" s="25"/>
      <c r="M9" s="25"/>
      <c r="N9" s="25"/>
      <c r="O9" s="14"/>
    </row>
    <row r="10" spans="2:18" ht="20.100000000000001" customHeight="1" x14ac:dyDescent="0.25">
      <c r="B10" s="98" t="s">
        <v>249</v>
      </c>
      <c r="C10" s="53" t="s">
        <v>306</v>
      </c>
      <c r="D10" s="89">
        <v>624548</v>
      </c>
      <c r="E10" s="89">
        <v>521566</v>
      </c>
      <c r="F10" s="90">
        <f t="shared" si="0"/>
        <v>83.510955122744761</v>
      </c>
      <c r="G10" s="89">
        <v>611723</v>
      </c>
      <c r="H10" s="89">
        <v>512073</v>
      </c>
      <c r="I10" s="90">
        <f t="shared" si="1"/>
        <v>83.709947149281618</v>
      </c>
      <c r="J10" s="14"/>
      <c r="K10" s="25"/>
      <c r="L10" s="25"/>
      <c r="M10" s="25"/>
      <c r="N10" s="25"/>
      <c r="O10" s="14"/>
      <c r="Q10" s="14"/>
      <c r="R10" s="14"/>
    </row>
    <row r="11" spans="2:18" ht="20.100000000000001" customHeight="1" x14ac:dyDescent="0.25">
      <c r="B11" s="443" t="s">
        <v>349</v>
      </c>
      <c r="C11" s="443"/>
      <c r="D11" s="92">
        <f>SUM(D8:D10)</f>
        <v>32323330</v>
      </c>
      <c r="E11" s="92">
        <f>SUM(E8:E10)</f>
        <v>917028</v>
      </c>
      <c r="F11" s="152">
        <f t="shared" si="0"/>
        <v>2.8370468017991959</v>
      </c>
      <c r="G11" s="92">
        <f>SUM(G8:G10)</f>
        <v>32350819</v>
      </c>
      <c r="H11" s="92">
        <f>SUM(H8:H10)</f>
        <v>914957</v>
      </c>
      <c r="I11" s="152">
        <f t="shared" si="1"/>
        <v>2.8282344258425112</v>
      </c>
      <c r="J11" s="14"/>
      <c r="K11" s="25"/>
      <c r="L11" s="25"/>
      <c r="M11" s="25"/>
      <c r="N11" s="25"/>
      <c r="O11" s="14"/>
      <c r="Q11" s="14"/>
      <c r="R11" s="14"/>
    </row>
    <row r="12" spans="2:18" ht="20.100000000000001" customHeight="1" x14ac:dyDescent="0.25">
      <c r="B12" s="98" t="s">
        <v>250</v>
      </c>
      <c r="C12" s="53" t="s">
        <v>304</v>
      </c>
      <c r="D12" s="89">
        <v>5049378</v>
      </c>
      <c r="E12" s="89">
        <v>27636</v>
      </c>
      <c r="F12" s="90">
        <f>E12/D12*100</f>
        <v>0.5473149366119946</v>
      </c>
      <c r="G12" s="89">
        <v>5062203</v>
      </c>
      <c r="H12" s="89">
        <v>27202</v>
      </c>
      <c r="I12" s="90">
        <f>H12/G12*100</f>
        <v>0.5373549816157116</v>
      </c>
      <c r="J12" s="14"/>
      <c r="K12" s="25"/>
      <c r="L12" s="25"/>
      <c r="M12" s="25"/>
      <c r="N12" s="25"/>
      <c r="O12" s="14"/>
      <c r="Q12" s="14"/>
      <c r="R12" s="14"/>
    </row>
    <row r="13" spans="2:18" ht="20.100000000000001" customHeight="1" x14ac:dyDescent="0.25">
      <c r="B13" s="98" t="s">
        <v>251</v>
      </c>
      <c r="C13" s="53" t="s">
        <v>305</v>
      </c>
      <c r="D13" s="89">
        <v>329287</v>
      </c>
      <c r="E13" s="89">
        <v>30198</v>
      </c>
      <c r="F13" s="90">
        <f t="shared" si="0"/>
        <v>9.1707234114921032</v>
      </c>
      <c r="G13" s="89">
        <v>329449</v>
      </c>
      <c r="H13" s="133">
        <v>30524</v>
      </c>
      <c r="I13" s="90">
        <f t="shared" si="1"/>
        <v>9.2651669909454881</v>
      </c>
      <c r="J13" s="14"/>
      <c r="K13" s="25"/>
      <c r="L13" s="25"/>
      <c r="M13" s="25"/>
      <c r="N13" s="25"/>
      <c r="O13" s="14"/>
      <c r="Q13" s="14"/>
      <c r="R13" s="14"/>
    </row>
    <row r="14" spans="2:18" ht="20.100000000000001" customHeight="1" x14ac:dyDescent="0.25">
      <c r="B14" s="98" t="s">
        <v>252</v>
      </c>
      <c r="C14" s="53" t="s">
        <v>306</v>
      </c>
      <c r="D14" s="89">
        <v>2153</v>
      </c>
      <c r="E14" s="89">
        <v>1176</v>
      </c>
      <c r="F14" s="90">
        <f t="shared" si="0"/>
        <v>54.621458430097533</v>
      </c>
      <c r="G14" s="89">
        <v>3791</v>
      </c>
      <c r="H14" s="89">
        <v>1702</v>
      </c>
      <c r="I14" s="90">
        <f>H14/G14*100</f>
        <v>44.895805855974672</v>
      </c>
      <c r="J14" s="14"/>
      <c r="K14" s="25"/>
      <c r="L14" s="25"/>
      <c r="M14" s="25"/>
      <c r="N14" s="25"/>
      <c r="O14" s="14"/>
      <c r="Q14" s="14"/>
      <c r="R14" s="14"/>
    </row>
    <row r="15" spans="2:18" ht="20.100000000000001" customHeight="1" x14ac:dyDescent="0.25">
      <c r="B15" s="443" t="s">
        <v>350</v>
      </c>
      <c r="C15" s="443"/>
      <c r="D15" s="92">
        <f>SUM(D12:D14)</f>
        <v>5380818</v>
      </c>
      <c r="E15" s="92">
        <f t="shared" ref="E15" si="2">SUM(E12:E14)</f>
        <v>59010</v>
      </c>
      <c r="F15" s="152">
        <f t="shared" si="0"/>
        <v>1.0966734054190275</v>
      </c>
      <c r="G15" s="92">
        <f>SUM(G12:G14)</f>
        <v>5395443</v>
      </c>
      <c r="H15" s="92">
        <f>SUM(H12:H14)</f>
        <v>59428</v>
      </c>
      <c r="I15" s="152">
        <f t="shared" si="1"/>
        <v>1.1014480182628192</v>
      </c>
      <c r="J15" s="14"/>
      <c r="K15" s="14"/>
      <c r="L15" s="25"/>
      <c r="M15" s="25"/>
      <c r="N15" s="25"/>
      <c r="O15" s="14"/>
      <c r="Q15" s="14"/>
      <c r="R15" s="14"/>
    </row>
    <row r="16" spans="2:18" ht="21" customHeight="1" x14ac:dyDescent="0.25">
      <c r="B16" s="443" t="s">
        <v>301</v>
      </c>
      <c r="C16" s="443"/>
      <c r="D16" s="128">
        <f>D11+D15</f>
        <v>37704148</v>
      </c>
      <c r="E16" s="128">
        <f>E11+E15</f>
        <v>976038</v>
      </c>
      <c r="F16" s="152">
        <f t="shared" si="0"/>
        <v>2.5886753892436452</v>
      </c>
      <c r="G16" s="128">
        <f>G11+G15</f>
        <v>37746262</v>
      </c>
      <c r="H16" s="128">
        <f>H11+H15</f>
        <v>974385</v>
      </c>
      <c r="I16" s="152">
        <f t="shared" si="1"/>
        <v>2.5814079285519718</v>
      </c>
      <c r="J16" s="14"/>
      <c r="K16" s="14"/>
      <c r="L16" s="25"/>
      <c r="M16" s="25"/>
      <c r="N16" s="25"/>
      <c r="O16" s="14"/>
      <c r="Q16" s="14"/>
      <c r="R16" s="14"/>
    </row>
    <row r="17" spans="4:11" x14ac:dyDescent="0.25">
      <c r="K17" s="25"/>
    </row>
    <row r="18" spans="4:11" x14ac:dyDescent="0.25">
      <c r="G18" s="14"/>
      <c r="H18" s="14"/>
    </row>
    <row r="19" spans="4:11" x14ac:dyDescent="0.25">
      <c r="D19" s="14"/>
      <c r="E19" s="14"/>
      <c r="G19" s="14"/>
      <c r="H19" s="14"/>
    </row>
    <row r="20" spans="4:11" x14ac:dyDescent="0.25">
      <c r="D20" s="14"/>
      <c r="E20" s="14"/>
      <c r="F20" s="25"/>
      <c r="G20" s="25"/>
      <c r="H20" s="25"/>
      <c r="I20" s="14"/>
    </row>
    <row r="21" spans="4:11" x14ac:dyDescent="0.25">
      <c r="D21" s="14"/>
      <c r="E21" s="14"/>
      <c r="G21" s="23"/>
      <c r="H21" s="25"/>
    </row>
    <row r="22" spans="4:11" x14ac:dyDescent="0.25">
      <c r="D22" s="14"/>
      <c r="E22" s="14"/>
    </row>
    <row r="23" spans="4:11" x14ac:dyDescent="0.25">
      <c r="D23" s="14"/>
      <c r="E23" s="14"/>
    </row>
    <row r="24" spans="4:11" x14ac:dyDescent="0.25">
      <c r="D24" s="14"/>
      <c r="E24" s="14"/>
    </row>
    <row r="25" spans="4:11" x14ac:dyDescent="0.25">
      <c r="D25" s="14"/>
      <c r="E25" s="14"/>
    </row>
    <row r="26" spans="4:11" x14ac:dyDescent="0.25">
      <c r="D26" s="14"/>
      <c r="E26" s="14"/>
    </row>
    <row r="27" spans="4:11" x14ac:dyDescent="0.25">
      <c r="D27" s="14"/>
      <c r="E27" s="14"/>
    </row>
    <row r="28" spans="4:11" x14ac:dyDescent="0.25">
      <c r="D28" s="14"/>
      <c r="E28" s="14"/>
    </row>
  </sheetData>
  <mergeCells count="8">
    <mergeCell ref="B5:B6"/>
    <mergeCell ref="B4:I4"/>
    <mergeCell ref="B11:C11"/>
    <mergeCell ref="B15:C15"/>
    <mergeCell ref="B16:C16"/>
    <mergeCell ref="C5:C6"/>
    <mergeCell ref="D5:F5"/>
    <mergeCell ref="G5:I5"/>
  </mergeCells>
  <pageMargins left="0.7" right="0.7" top="0.75" bottom="0.75" header="0.3" footer="0.3"/>
  <pageSetup scale="83" fitToHeight="0" orientation="landscape" r:id="rId1"/>
  <ignoredErrors>
    <ignoredError sqref="D11:E11 G11:H11" formulaRange="1"/>
    <ignoredError sqref="F11 F16 F15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N20"/>
  <sheetViews>
    <sheetView workbookViewId="0"/>
  </sheetViews>
  <sheetFormatPr defaultRowHeight="15" x14ac:dyDescent="0.25"/>
  <cols>
    <col min="3" max="3" width="34.42578125" customWidth="1"/>
    <col min="4" max="4" width="13.7109375" customWidth="1"/>
    <col min="5" max="5" width="10.140625" customWidth="1"/>
    <col min="6" max="6" width="13.7109375" customWidth="1"/>
    <col min="7" max="7" width="9.7109375" customWidth="1"/>
    <col min="10" max="10" width="10.7109375" bestFit="1" customWidth="1"/>
    <col min="11" max="11" width="9.140625" customWidth="1"/>
    <col min="12" max="12" width="10.140625" bestFit="1" customWidth="1"/>
    <col min="14" max="14" width="10.140625" bestFit="1" customWidth="1"/>
  </cols>
  <sheetData>
    <row r="3" spans="2:14" ht="16.5" thickBot="1" x14ac:dyDescent="0.3">
      <c r="B3" s="47"/>
      <c r="C3" s="47"/>
      <c r="D3" s="68"/>
      <c r="E3" s="68"/>
      <c r="F3" s="68"/>
      <c r="G3" s="68"/>
      <c r="H3" s="153" t="s">
        <v>262</v>
      </c>
    </row>
    <row r="4" spans="2:14" ht="24.95" customHeight="1" thickTop="1" x14ac:dyDescent="0.25">
      <c r="B4" s="454" t="s">
        <v>1321</v>
      </c>
      <c r="C4" s="454"/>
      <c r="D4" s="454"/>
      <c r="E4" s="454"/>
      <c r="F4" s="454"/>
      <c r="G4" s="454"/>
      <c r="H4" s="454"/>
    </row>
    <row r="5" spans="2:14" ht="15.75" x14ac:dyDescent="0.25">
      <c r="B5" s="448" t="s">
        <v>100</v>
      </c>
      <c r="C5" s="450" t="s">
        <v>40</v>
      </c>
      <c r="D5" s="450" t="s">
        <v>601</v>
      </c>
      <c r="E5" s="450"/>
      <c r="F5" s="450" t="s">
        <v>602</v>
      </c>
      <c r="G5" s="450"/>
      <c r="H5" s="84" t="s">
        <v>1</v>
      </c>
    </row>
    <row r="6" spans="2:14" ht="15.75" customHeight="1" x14ac:dyDescent="0.25">
      <c r="B6" s="448"/>
      <c r="C6" s="450"/>
      <c r="D6" s="84" t="s">
        <v>2</v>
      </c>
      <c r="E6" s="84" t="s">
        <v>20</v>
      </c>
      <c r="F6" s="84" t="s">
        <v>2</v>
      </c>
      <c r="G6" s="84" t="s">
        <v>20</v>
      </c>
      <c r="H6" s="117" t="s">
        <v>333</v>
      </c>
    </row>
    <row r="7" spans="2:14" s="34" customFormat="1" ht="15.75" customHeight="1" x14ac:dyDescent="0.2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155">
        <v>7</v>
      </c>
    </row>
    <row r="8" spans="2:14" ht="15.75" x14ac:dyDescent="0.25">
      <c r="B8" s="87" t="s">
        <v>247</v>
      </c>
      <c r="C8" s="88" t="s">
        <v>41</v>
      </c>
      <c r="D8" s="89">
        <v>402332</v>
      </c>
      <c r="E8" s="90">
        <f>D8/D$15*100</f>
        <v>2.1063920327228649</v>
      </c>
      <c r="F8" s="141">
        <v>498995</v>
      </c>
      <c r="G8" s="301">
        <f>F8/F$15*100</f>
        <v>2.5310908826961023</v>
      </c>
      <c r="H8" s="91">
        <f>F8/D8*100</f>
        <v>124.02568028394461</v>
      </c>
      <c r="I8" s="14"/>
      <c r="J8" s="14"/>
      <c r="K8" s="25"/>
      <c r="L8" s="14"/>
      <c r="N8" s="14"/>
    </row>
    <row r="9" spans="2:14" ht="16.5" customHeight="1" x14ac:dyDescent="0.25">
      <c r="B9" s="87" t="s">
        <v>248</v>
      </c>
      <c r="C9" s="88" t="s">
        <v>42</v>
      </c>
      <c r="D9" s="89">
        <v>390770</v>
      </c>
      <c r="E9" s="90">
        <f t="shared" ref="E9:E14" si="0">D9/D$15*100</f>
        <v>2.0458596746644906</v>
      </c>
      <c r="F9" s="141">
        <v>381640</v>
      </c>
      <c r="G9" s="301">
        <f t="shared" ref="G9:G14" si="1">F9/F$15*100</f>
        <v>1.9358220512673285</v>
      </c>
      <c r="H9" s="91">
        <f t="shared" ref="H9:H14" si="2">F9/D9*100</f>
        <v>97.663587276402993</v>
      </c>
      <c r="I9" s="14"/>
      <c r="J9" s="14"/>
      <c r="K9" s="25"/>
      <c r="L9" s="14"/>
      <c r="N9" s="14"/>
    </row>
    <row r="10" spans="2:14" ht="16.5" customHeight="1" x14ac:dyDescent="0.25">
      <c r="B10" s="87" t="s">
        <v>351</v>
      </c>
      <c r="C10" s="88" t="s">
        <v>587</v>
      </c>
      <c r="D10" s="89">
        <v>8175099</v>
      </c>
      <c r="E10" s="90">
        <f t="shared" si="0"/>
        <v>42.800382272154991</v>
      </c>
      <c r="F10" s="141">
        <v>8454640</v>
      </c>
      <c r="G10" s="301">
        <f t="shared" si="1"/>
        <v>42.885123539269479</v>
      </c>
      <c r="H10" s="91">
        <f t="shared" si="2"/>
        <v>103.41942036420599</v>
      </c>
      <c r="I10" s="14"/>
      <c r="J10" s="14"/>
      <c r="K10" s="25"/>
      <c r="L10" s="14"/>
      <c r="N10" s="14"/>
    </row>
    <row r="11" spans="2:14" ht="15.75" x14ac:dyDescent="0.25">
      <c r="B11" s="87" t="s">
        <v>250</v>
      </c>
      <c r="C11" s="88" t="s">
        <v>44</v>
      </c>
      <c r="D11" s="89">
        <v>376339</v>
      </c>
      <c r="E11" s="90">
        <f t="shared" si="0"/>
        <v>1.9703067894248787</v>
      </c>
      <c r="F11" s="141">
        <v>379221</v>
      </c>
      <c r="G11" s="301">
        <f t="shared" si="1"/>
        <v>1.9235519707149342</v>
      </c>
      <c r="H11" s="91">
        <f t="shared" si="2"/>
        <v>100.76579892065398</v>
      </c>
      <c r="I11" s="14"/>
      <c r="J11" s="14"/>
      <c r="K11" s="25"/>
      <c r="L11" s="25"/>
      <c r="N11" s="14"/>
    </row>
    <row r="12" spans="2:14" ht="15.75" x14ac:dyDescent="0.25">
      <c r="B12" s="87" t="s">
        <v>251</v>
      </c>
      <c r="C12" s="88" t="s">
        <v>588</v>
      </c>
      <c r="D12" s="89">
        <v>195010</v>
      </c>
      <c r="E12" s="90">
        <f t="shared" si="0"/>
        <v>1.0209665408202329</v>
      </c>
      <c r="F12" s="141">
        <v>201066</v>
      </c>
      <c r="G12" s="301">
        <f t="shared" si="1"/>
        <v>1.0198826028721222</v>
      </c>
      <c r="H12" s="91">
        <f t="shared" si="2"/>
        <v>103.10548177016562</v>
      </c>
      <c r="I12" s="14"/>
      <c r="J12" s="14"/>
      <c r="K12" s="25"/>
      <c r="L12" s="14"/>
      <c r="N12" s="14"/>
    </row>
    <row r="13" spans="2:14" ht="15.75" x14ac:dyDescent="0.25">
      <c r="B13" s="87" t="s">
        <v>252</v>
      </c>
      <c r="C13" s="88" t="s">
        <v>528</v>
      </c>
      <c r="D13" s="89">
        <v>18280</v>
      </c>
      <c r="E13" s="90">
        <f t="shared" si="0"/>
        <v>9.5704160638910088E-2</v>
      </c>
      <c r="F13" s="141">
        <v>16898</v>
      </c>
      <c r="G13" s="301">
        <f t="shared" si="1"/>
        <v>8.5713030663230577E-2</v>
      </c>
      <c r="H13" s="91">
        <f t="shared" si="2"/>
        <v>92.439824945295399</v>
      </c>
      <c r="I13" s="14"/>
      <c r="J13" s="14"/>
      <c r="K13" s="25"/>
      <c r="L13" s="14"/>
      <c r="M13" s="14"/>
      <c r="N13" s="25"/>
    </row>
    <row r="14" spans="2:14" ht="15.75" x14ac:dyDescent="0.25">
      <c r="B14" s="87" t="s">
        <v>253</v>
      </c>
      <c r="C14" s="88" t="s">
        <v>45</v>
      </c>
      <c r="D14" s="89">
        <v>9542698</v>
      </c>
      <c r="E14" s="90">
        <f t="shared" si="0"/>
        <v>49.960388529573635</v>
      </c>
      <c r="F14" s="141">
        <v>9782162</v>
      </c>
      <c r="G14" s="90">
        <f t="shared" si="1"/>
        <v>49.618815922516802</v>
      </c>
      <c r="H14" s="91">
        <f t="shared" si="2"/>
        <v>102.5093951417094</v>
      </c>
      <c r="I14" s="14"/>
      <c r="J14" s="14"/>
      <c r="K14" s="25"/>
      <c r="L14" s="14"/>
      <c r="N14" s="14"/>
    </row>
    <row r="15" spans="2:14" ht="15.75" x14ac:dyDescent="0.25">
      <c r="B15" s="450" t="s">
        <v>18</v>
      </c>
      <c r="C15" s="450"/>
      <c r="D15" s="92">
        <f t="shared" ref="D15:G15" si="3">SUM(D8:D14)</f>
        <v>19100528</v>
      </c>
      <c r="E15" s="93">
        <f t="shared" si="3"/>
        <v>100</v>
      </c>
      <c r="F15" s="92">
        <f t="shared" si="3"/>
        <v>19714622</v>
      </c>
      <c r="G15" s="93">
        <f t="shared" si="3"/>
        <v>100</v>
      </c>
      <c r="H15" s="93">
        <f>F15/D15*100</f>
        <v>103.21506295532772</v>
      </c>
      <c r="I15" s="14"/>
      <c r="J15" s="14"/>
      <c r="K15" s="25"/>
      <c r="L15" s="25"/>
      <c r="N15" s="14"/>
    </row>
    <row r="16" spans="2:14" x14ac:dyDescent="0.25">
      <c r="J16" s="14"/>
      <c r="K16" s="14"/>
    </row>
    <row r="17" spans="4:10" x14ac:dyDescent="0.25">
      <c r="D17" s="14"/>
      <c r="F17" s="14"/>
      <c r="G17" s="14"/>
      <c r="J17" s="25"/>
    </row>
    <row r="18" spans="4:10" x14ac:dyDescent="0.25">
      <c r="D18" s="14"/>
      <c r="F18" s="14"/>
      <c r="H18" s="14"/>
      <c r="J18" s="14"/>
    </row>
    <row r="19" spans="4:10" x14ac:dyDescent="0.25">
      <c r="D19" s="25"/>
      <c r="F19" s="14"/>
      <c r="G19" s="14"/>
    </row>
    <row r="20" spans="4:10" x14ac:dyDescent="0.25">
      <c r="F20" s="25"/>
    </row>
  </sheetData>
  <mergeCells count="6">
    <mergeCell ref="B4:H4"/>
    <mergeCell ref="B5:B6"/>
    <mergeCell ref="B15:C15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5 F15" formulaRange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20"/>
  <sheetViews>
    <sheetView workbookViewId="0">
      <selection activeCell="H16" sqref="H16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47"/>
      <c r="C3" s="156"/>
      <c r="D3" s="68"/>
      <c r="E3" s="68"/>
      <c r="F3" s="68"/>
      <c r="G3" s="68"/>
      <c r="H3" s="68"/>
      <c r="I3" s="68"/>
      <c r="J3" s="68"/>
      <c r="K3" s="68"/>
      <c r="L3" s="153" t="s">
        <v>266</v>
      </c>
    </row>
    <row r="4" spans="2:16" ht="24.95" customHeight="1" thickTop="1" x14ac:dyDescent="0.25">
      <c r="B4" s="454" t="s">
        <v>1322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</row>
    <row r="5" spans="2:16" ht="15.95" customHeight="1" x14ac:dyDescent="0.25">
      <c r="B5" s="448" t="s">
        <v>100</v>
      </c>
      <c r="C5" s="450" t="s">
        <v>40</v>
      </c>
      <c r="D5" s="450" t="s">
        <v>601</v>
      </c>
      <c r="E5" s="450"/>
      <c r="F5" s="450"/>
      <c r="G5" s="450" t="s">
        <v>602</v>
      </c>
      <c r="H5" s="450"/>
      <c r="I5" s="450"/>
      <c r="J5" s="450" t="s">
        <v>1</v>
      </c>
      <c r="K5" s="450"/>
      <c r="L5" s="450"/>
    </row>
    <row r="6" spans="2:16" ht="15.95" customHeight="1" x14ac:dyDescent="0.25">
      <c r="B6" s="448"/>
      <c r="C6" s="450"/>
      <c r="D6" s="450" t="s">
        <v>113</v>
      </c>
      <c r="E6" s="450" t="s">
        <v>114</v>
      </c>
      <c r="F6" s="450" t="s">
        <v>202</v>
      </c>
      <c r="G6" s="450" t="s">
        <v>113</v>
      </c>
      <c r="H6" s="450" t="s">
        <v>114</v>
      </c>
      <c r="I6" s="450" t="s">
        <v>202</v>
      </c>
      <c r="J6" s="457" t="s">
        <v>354</v>
      </c>
      <c r="K6" s="457" t="s">
        <v>335</v>
      </c>
      <c r="L6" s="457" t="s">
        <v>355</v>
      </c>
    </row>
    <row r="7" spans="2:16" ht="15.95" customHeight="1" x14ac:dyDescent="0.25">
      <c r="B7" s="448"/>
      <c r="C7" s="450"/>
      <c r="D7" s="450"/>
      <c r="E7" s="450"/>
      <c r="F7" s="450"/>
      <c r="G7" s="450"/>
      <c r="H7" s="450"/>
      <c r="I7" s="450"/>
      <c r="J7" s="457"/>
      <c r="K7" s="457"/>
      <c r="L7" s="457"/>
    </row>
    <row r="8" spans="2:16" x14ac:dyDescent="0.25">
      <c r="B8" s="85">
        <v>1</v>
      </c>
      <c r="C8" s="86">
        <v>2</v>
      </c>
      <c r="D8" s="86">
        <v>3</v>
      </c>
      <c r="E8" s="86">
        <v>4</v>
      </c>
      <c r="F8" s="86">
        <v>5</v>
      </c>
      <c r="G8" s="86">
        <v>6</v>
      </c>
      <c r="H8" s="86">
        <v>7</v>
      </c>
      <c r="I8" s="86">
        <v>8</v>
      </c>
      <c r="J8" s="86">
        <v>9</v>
      </c>
      <c r="K8" s="86">
        <v>10</v>
      </c>
      <c r="L8" s="86">
        <v>11</v>
      </c>
    </row>
    <row r="9" spans="2:16" ht="15.95" customHeight="1" x14ac:dyDescent="0.25">
      <c r="B9" s="98" t="s">
        <v>247</v>
      </c>
      <c r="C9" s="88" t="s">
        <v>41</v>
      </c>
      <c r="D9" s="89">
        <v>3546</v>
      </c>
      <c r="E9" s="89">
        <v>394654</v>
      </c>
      <c r="F9" s="89">
        <v>4132</v>
      </c>
      <c r="G9" s="89">
        <v>114732</v>
      </c>
      <c r="H9" s="89">
        <v>383803</v>
      </c>
      <c r="I9" s="89">
        <v>460</v>
      </c>
      <c r="J9" s="94">
        <f>G9/D9*100</f>
        <v>3235.532994923858</v>
      </c>
      <c r="K9" s="94">
        <f>H9/E9*100</f>
        <v>97.250502972223771</v>
      </c>
      <c r="L9" s="94">
        <f>I9/F9*100</f>
        <v>11.132623426911907</v>
      </c>
      <c r="N9" s="14"/>
      <c r="O9" s="14"/>
    </row>
    <row r="10" spans="2:16" ht="15.95" customHeight="1" x14ac:dyDescent="0.25">
      <c r="B10" s="98" t="s">
        <v>248</v>
      </c>
      <c r="C10" s="88" t="s">
        <v>42</v>
      </c>
      <c r="D10" s="89">
        <v>73614</v>
      </c>
      <c r="E10" s="89">
        <v>316410</v>
      </c>
      <c r="F10" s="89">
        <v>746</v>
      </c>
      <c r="G10" s="89">
        <v>91613</v>
      </c>
      <c r="H10" s="89">
        <v>288630</v>
      </c>
      <c r="I10" s="89">
        <v>1397</v>
      </c>
      <c r="J10" s="94">
        <f t="shared" ref="J10:J16" si="0">G10/D10*100</f>
        <v>124.45051213084469</v>
      </c>
      <c r="K10" s="94">
        <f t="shared" ref="K10:K16" si="1">H10/E10*100</f>
        <v>91.220252204418316</v>
      </c>
      <c r="L10" s="94">
        <f t="shared" ref="L10:L16" si="2">I10/F10*100</f>
        <v>187.26541554959786</v>
      </c>
      <c r="N10" s="14"/>
      <c r="O10" s="14"/>
      <c r="P10" s="14"/>
    </row>
    <row r="11" spans="2:16" ht="15.95" customHeight="1" x14ac:dyDescent="0.25">
      <c r="B11" s="98" t="s">
        <v>249</v>
      </c>
      <c r="C11" s="88" t="s">
        <v>352</v>
      </c>
      <c r="D11" s="89">
        <v>3227763</v>
      </c>
      <c r="E11" s="89">
        <v>4721349</v>
      </c>
      <c r="F11" s="89">
        <v>225987</v>
      </c>
      <c r="G11" s="89">
        <v>3417408</v>
      </c>
      <c r="H11" s="89">
        <v>4801247</v>
      </c>
      <c r="I11" s="89">
        <v>235985</v>
      </c>
      <c r="J11" s="94">
        <f t="shared" si="0"/>
        <v>105.87543137460835</v>
      </c>
      <c r="K11" s="94">
        <f t="shared" si="1"/>
        <v>101.69227057775225</v>
      </c>
      <c r="L11" s="94">
        <f t="shared" si="2"/>
        <v>104.42414829171589</v>
      </c>
      <c r="N11" s="14"/>
      <c r="O11" s="14"/>
      <c r="P11" s="14"/>
    </row>
    <row r="12" spans="2:16" ht="15.95" customHeight="1" x14ac:dyDescent="0.25">
      <c r="B12" s="98" t="s">
        <v>250</v>
      </c>
      <c r="C12" s="88" t="s">
        <v>44</v>
      </c>
      <c r="D12" s="89">
        <v>303378</v>
      </c>
      <c r="E12" s="89">
        <v>72387</v>
      </c>
      <c r="F12" s="89">
        <v>574</v>
      </c>
      <c r="G12" s="89">
        <v>303666</v>
      </c>
      <c r="H12" s="89">
        <v>72386</v>
      </c>
      <c r="I12" s="89">
        <v>3169</v>
      </c>
      <c r="J12" s="94">
        <f t="shared" si="0"/>
        <v>100.0949310760833</v>
      </c>
      <c r="K12" s="94">
        <f t="shared" si="1"/>
        <v>99.998618536477551</v>
      </c>
      <c r="L12" s="94">
        <f t="shared" si="2"/>
        <v>552.09059233449477</v>
      </c>
      <c r="N12" s="14"/>
    </row>
    <row r="13" spans="2:16" ht="15.95" customHeight="1" x14ac:dyDescent="0.25">
      <c r="B13" s="98" t="s">
        <v>251</v>
      </c>
      <c r="C13" s="88" t="s">
        <v>353</v>
      </c>
      <c r="D13" s="89">
        <v>28195</v>
      </c>
      <c r="E13" s="89">
        <v>166815</v>
      </c>
      <c r="F13" s="89">
        <v>0</v>
      </c>
      <c r="G13" s="89">
        <v>20863</v>
      </c>
      <c r="H13" s="89">
        <v>180163</v>
      </c>
      <c r="I13" s="89">
        <v>40</v>
      </c>
      <c r="J13" s="94">
        <f t="shared" si="0"/>
        <v>73.99538925341372</v>
      </c>
      <c r="K13" s="94">
        <f t="shared" si="1"/>
        <v>108.00167850612954</v>
      </c>
      <c r="L13" s="94" t="s">
        <v>80</v>
      </c>
      <c r="N13" s="14"/>
      <c r="O13" s="14"/>
    </row>
    <row r="14" spans="2:16" ht="15.95" customHeight="1" x14ac:dyDescent="0.25">
      <c r="B14" s="98" t="s">
        <v>252</v>
      </c>
      <c r="C14" s="88" t="s">
        <v>528</v>
      </c>
      <c r="D14" s="89">
        <v>9045</v>
      </c>
      <c r="E14" s="89">
        <v>9023</v>
      </c>
      <c r="F14" s="200">
        <v>212</v>
      </c>
      <c r="G14" s="89">
        <v>6346</v>
      </c>
      <c r="H14" s="89">
        <v>9832</v>
      </c>
      <c r="I14" s="200">
        <v>720</v>
      </c>
      <c r="J14" s="94">
        <f t="shared" si="0"/>
        <v>70.160309563294646</v>
      </c>
      <c r="K14" s="94">
        <f t="shared" si="1"/>
        <v>108.96597583952124</v>
      </c>
      <c r="L14" s="94">
        <f t="shared" si="2"/>
        <v>339.62264150943395</v>
      </c>
      <c r="N14" s="14"/>
      <c r="O14" s="14"/>
      <c r="P14" s="14"/>
    </row>
    <row r="15" spans="2:16" ht="15.95" customHeight="1" x14ac:dyDescent="0.25">
      <c r="B15" s="98" t="s">
        <v>253</v>
      </c>
      <c r="C15" s="88" t="s">
        <v>45</v>
      </c>
      <c r="D15" s="89">
        <v>389598</v>
      </c>
      <c r="E15" s="89">
        <v>8969096</v>
      </c>
      <c r="F15" s="89">
        <v>184004</v>
      </c>
      <c r="G15" s="89">
        <v>393179</v>
      </c>
      <c r="H15" s="89">
        <v>9198643</v>
      </c>
      <c r="I15" s="89">
        <v>190340</v>
      </c>
      <c r="J15" s="94">
        <f t="shared" si="0"/>
        <v>100.91915256238482</v>
      </c>
      <c r="K15" s="94">
        <f t="shared" si="1"/>
        <v>102.55931032514314</v>
      </c>
      <c r="L15" s="94">
        <f t="shared" si="2"/>
        <v>103.44340340427382</v>
      </c>
      <c r="N15" s="14"/>
      <c r="O15" s="14"/>
    </row>
    <row r="16" spans="2:16" ht="20.100000000000001" customHeight="1" x14ac:dyDescent="0.25">
      <c r="B16" s="450" t="s">
        <v>18</v>
      </c>
      <c r="C16" s="450"/>
      <c r="D16" s="92">
        <f>SUM(D9:D15)</f>
        <v>4035139</v>
      </c>
      <c r="E16" s="92">
        <f>SUM(E9:E15)</f>
        <v>14649734</v>
      </c>
      <c r="F16" s="92">
        <f>SUM(F9:F15)</f>
        <v>415655</v>
      </c>
      <c r="G16" s="92">
        <f>SUM(G9:G15)</f>
        <v>4347807</v>
      </c>
      <c r="H16" s="92">
        <f t="shared" ref="H16:I16" si="3">SUM(H9:H15)</f>
        <v>14934704</v>
      </c>
      <c r="I16" s="92">
        <f t="shared" si="3"/>
        <v>432111</v>
      </c>
      <c r="J16" s="107">
        <f t="shared" si="0"/>
        <v>107.74863022066899</v>
      </c>
      <c r="K16" s="107">
        <f t="shared" si="1"/>
        <v>101.94522303271856</v>
      </c>
      <c r="L16" s="107">
        <f t="shared" si="2"/>
        <v>103.95905257966342</v>
      </c>
      <c r="N16" s="14"/>
      <c r="O16" s="14"/>
      <c r="P16" s="14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1"/>
    </row>
    <row r="18" spans="3:12" x14ac:dyDescent="0.25">
      <c r="D18" s="14"/>
      <c r="E18" s="14"/>
      <c r="F18" s="14"/>
      <c r="G18" s="14"/>
      <c r="H18" s="14"/>
      <c r="I18" s="14"/>
    </row>
    <row r="19" spans="3:12" x14ac:dyDescent="0.25">
      <c r="D19" s="25"/>
      <c r="E19" s="25"/>
      <c r="F19" s="25"/>
      <c r="G19" s="25"/>
      <c r="H19" s="25"/>
      <c r="I19" s="25"/>
    </row>
    <row r="20" spans="3:12" x14ac:dyDescent="0.25">
      <c r="I20" s="23"/>
    </row>
  </sheetData>
  <mergeCells count="16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  <mergeCell ref="H6:H7"/>
    <mergeCell ref="G6:G7"/>
    <mergeCell ref="E6:E7"/>
    <mergeCell ref="D6:D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R25"/>
  <sheetViews>
    <sheetView workbookViewId="0">
      <selection activeCell="G28" sqref="G28"/>
    </sheetView>
  </sheetViews>
  <sheetFormatPr defaultRowHeight="15" x14ac:dyDescent="0.25"/>
  <cols>
    <col min="2" max="2" width="8.140625" customWidth="1"/>
    <col min="3" max="3" width="27" customWidth="1"/>
    <col min="4" max="4" width="12.140625" customWidth="1"/>
    <col min="5" max="5" width="12.28515625" customWidth="1"/>
    <col min="7" max="7" width="12.42578125" customWidth="1"/>
    <col min="8" max="8" width="11.7109375" customWidth="1"/>
    <col min="11" max="11" width="11.85546875" style="37" bestFit="1" customWidth="1"/>
    <col min="12" max="12" width="12.5703125" customWidth="1"/>
    <col min="14" max="14" width="10.5703125" bestFit="1" customWidth="1"/>
    <col min="15" max="15" width="10.85546875" customWidth="1"/>
    <col min="17" max="17" width="10.140625" bestFit="1" customWidth="1"/>
  </cols>
  <sheetData>
    <row r="3" spans="2:18" ht="16.5" thickBot="1" x14ac:dyDescent="0.3">
      <c r="B3" s="47"/>
      <c r="C3" s="47"/>
      <c r="D3" s="68"/>
      <c r="E3" s="68"/>
      <c r="F3" s="68"/>
      <c r="G3" s="68"/>
      <c r="H3" s="68"/>
      <c r="I3" s="153" t="s">
        <v>262</v>
      </c>
    </row>
    <row r="4" spans="2:18" ht="24.95" customHeight="1" thickTop="1" x14ac:dyDescent="0.25">
      <c r="B4" s="454" t="s">
        <v>1323</v>
      </c>
      <c r="C4" s="454"/>
      <c r="D4" s="454"/>
      <c r="E4" s="454"/>
      <c r="F4" s="454"/>
      <c r="G4" s="454"/>
      <c r="H4" s="454"/>
      <c r="I4" s="454"/>
    </row>
    <row r="5" spans="2:18" ht="15.75" x14ac:dyDescent="0.25">
      <c r="B5" s="458" t="s">
        <v>100</v>
      </c>
      <c r="C5" s="450" t="s">
        <v>56</v>
      </c>
      <c r="D5" s="450" t="s">
        <v>601</v>
      </c>
      <c r="E5" s="450"/>
      <c r="F5" s="450"/>
      <c r="G5" s="450" t="s">
        <v>602</v>
      </c>
      <c r="H5" s="450"/>
      <c r="I5" s="450"/>
    </row>
    <row r="6" spans="2:18" ht="15.75" x14ac:dyDescent="0.25">
      <c r="B6" s="458"/>
      <c r="C6" s="450"/>
      <c r="D6" s="84" t="s">
        <v>2</v>
      </c>
      <c r="E6" s="84" t="s">
        <v>302</v>
      </c>
      <c r="F6" s="84" t="s">
        <v>303</v>
      </c>
      <c r="G6" s="84" t="s">
        <v>2</v>
      </c>
      <c r="H6" s="84" t="s">
        <v>302</v>
      </c>
      <c r="I6" s="84" t="s">
        <v>303</v>
      </c>
    </row>
    <row r="7" spans="2:18" s="33" customFormat="1" ht="12.75" x14ac:dyDescent="0.2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  <c r="I7" s="86">
        <v>8</v>
      </c>
      <c r="K7" s="38"/>
    </row>
    <row r="8" spans="2:18" ht="16.5" customHeight="1" x14ac:dyDescent="0.25">
      <c r="B8" s="159"/>
      <c r="C8" s="120" t="s">
        <v>356</v>
      </c>
      <c r="D8" s="119"/>
      <c r="E8" s="119"/>
      <c r="F8" s="119"/>
      <c r="G8" s="119"/>
      <c r="H8" s="119"/>
      <c r="I8" s="119"/>
    </row>
    <row r="9" spans="2:18" ht="23.1" customHeight="1" x14ac:dyDescent="0.25">
      <c r="B9" s="102" t="s">
        <v>247</v>
      </c>
      <c r="C9" s="53" t="s">
        <v>304</v>
      </c>
      <c r="D9" s="96">
        <v>8243141</v>
      </c>
      <c r="E9" s="96">
        <v>90160</v>
      </c>
      <c r="F9" s="90">
        <f>E9/D9*100</f>
        <v>1.0937578284782463</v>
      </c>
      <c r="G9" s="96">
        <v>8612567</v>
      </c>
      <c r="H9" s="96">
        <v>93685</v>
      </c>
      <c r="I9" s="90">
        <f>H9/G9*100</f>
        <v>1.0877709282261607</v>
      </c>
      <c r="K9" s="14"/>
      <c r="L9" s="25"/>
      <c r="N9" s="14"/>
      <c r="O9" s="14"/>
      <c r="Q9" s="14"/>
      <c r="R9" s="14"/>
    </row>
    <row r="10" spans="2:18" ht="23.1" customHeight="1" x14ac:dyDescent="0.25">
      <c r="B10" s="102" t="s">
        <v>248</v>
      </c>
      <c r="C10" s="53" t="s">
        <v>305</v>
      </c>
      <c r="D10" s="96">
        <v>1066084</v>
      </c>
      <c r="E10" s="96">
        <v>119954</v>
      </c>
      <c r="F10" s="90">
        <f t="shared" ref="F10:F21" si="0">E10/D10*100</f>
        <v>11.251833814221019</v>
      </c>
      <c r="G10" s="96">
        <v>1081430</v>
      </c>
      <c r="H10" s="96">
        <v>115903</v>
      </c>
      <c r="I10" s="90">
        <f t="shared" ref="I10:I22" si="1">H10/G10*100</f>
        <v>10.717568404797353</v>
      </c>
      <c r="K10" s="14"/>
      <c r="L10" s="25"/>
      <c r="N10" s="14"/>
      <c r="O10" s="14"/>
      <c r="Q10" s="14"/>
      <c r="R10" s="14"/>
    </row>
    <row r="11" spans="2:18" ht="23.1" customHeight="1" x14ac:dyDescent="0.25">
      <c r="B11" s="102" t="s">
        <v>249</v>
      </c>
      <c r="C11" s="53" t="s">
        <v>306</v>
      </c>
      <c r="D11" s="96">
        <v>248605</v>
      </c>
      <c r="E11" s="96">
        <v>213493</v>
      </c>
      <c r="F11" s="90">
        <f t="shared" si="0"/>
        <v>85.87639025763761</v>
      </c>
      <c r="G11" s="96">
        <v>238463</v>
      </c>
      <c r="H11" s="96">
        <v>203156</v>
      </c>
      <c r="I11" s="90">
        <f t="shared" si="1"/>
        <v>85.193929456561392</v>
      </c>
      <c r="K11" s="25"/>
      <c r="L11" s="25"/>
      <c r="N11" s="26"/>
      <c r="O11" s="26"/>
      <c r="Q11" s="14"/>
      <c r="R11" s="14"/>
    </row>
    <row r="12" spans="2:18" ht="23.1" customHeight="1" x14ac:dyDescent="0.25">
      <c r="B12" s="443" t="s">
        <v>358</v>
      </c>
      <c r="C12" s="443"/>
      <c r="D12" s="128">
        <f>SUM(D9:D11)</f>
        <v>9557830</v>
      </c>
      <c r="E12" s="128">
        <f>SUM(E9:E11)</f>
        <v>423607</v>
      </c>
      <c r="F12" s="152">
        <f t="shared" si="0"/>
        <v>4.4320415826604993</v>
      </c>
      <c r="G12" s="128">
        <f>SUM(G9:G11)</f>
        <v>9932460</v>
      </c>
      <c r="H12" s="128">
        <f>SUM(H9:H11)</f>
        <v>412744</v>
      </c>
      <c r="I12" s="152">
        <f t="shared" si="1"/>
        <v>4.1555062894791419</v>
      </c>
      <c r="K12" s="14"/>
      <c r="L12" s="25"/>
      <c r="N12" s="26"/>
      <c r="O12" s="26"/>
      <c r="Q12" s="14"/>
      <c r="R12" s="14"/>
    </row>
    <row r="13" spans="2:18" ht="19.5" customHeight="1" x14ac:dyDescent="0.25">
      <c r="B13" s="160"/>
      <c r="C13" s="51" t="s">
        <v>357</v>
      </c>
      <c r="D13" s="131"/>
      <c r="E13" s="131"/>
      <c r="F13" s="90"/>
      <c r="G13" s="131"/>
      <c r="H13" s="131"/>
      <c r="I13" s="90"/>
      <c r="K13" s="14"/>
      <c r="L13" s="25"/>
      <c r="N13" s="26"/>
      <c r="O13" s="26"/>
    </row>
    <row r="14" spans="2:18" ht="20.25" customHeight="1" x14ac:dyDescent="0.25">
      <c r="B14" s="102" t="s">
        <v>250</v>
      </c>
      <c r="C14" s="53" t="s">
        <v>304</v>
      </c>
      <c r="D14" s="96">
        <v>8608635</v>
      </c>
      <c r="E14" s="96">
        <v>88783</v>
      </c>
      <c r="F14" s="90">
        <f t="shared" si="0"/>
        <v>1.0313249429206837</v>
      </c>
      <c r="G14" s="96">
        <v>8849366</v>
      </c>
      <c r="H14" s="96">
        <v>93031</v>
      </c>
      <c r="I14" s="90">
        <f t="shared" si="1"/>
        <v>1.0512730516513837</v>
      </c>
      <c r="K14" s="14"/>
      <c r="L14" s="25"/>
      <c r="N14" s="26"/>
      <c r="O14" s="26"/>
      <c r="Q14" s="14"/>
      <c r="R14" s="14"/>
    </row>
    <row r="15" spans="2:18" ht="23.1" customHeight="1" x14ac:dyDescent="0.25">
      <c r="B15" s="102" t="s">
        <v>251</v>
      </c>
      <c r="C15" s="53" t="s">
        <v>305</v>
      </c>
      <c r="D15" s="96">
        <v>618813</v>
      </c>
      <c r="E15" s="96">
        <v>59208</v>
      </c>
      <c r="F15" s="90">
        <f t="shared" si="0"/>
        <v>9.567995501064134</v>
      </c>
      <c r="G15" s="96">
        <v>617252</v>
      </c>
      <c r="H15" s="133">
        <v>61574</v>
      </c>
      <c r="I15" s="90">
        <f t="shared" si="1"/>
        <v>9.9755043321042294</v>
      </c>
      <c r="K15" s="14"/>
      <c r="L15" s="25"/>
      <c r="N15" s="26"/>
      <c r="O15" s="26"/>
      <c r="Q15" s="14"/>
      <c r="R15" s="14"/>
    </row>
    <row r="16" spans="2:18" ht="23.1" customHeight="1" x14ac:dyDescent="0.25">
      <c r="B16" s="102" t="s">
        <v>252</v>
      </c>
      <c r="C16" s="53" t="s">
        <v>306</v>
      </c>
      <c r="D16" s="96">
        <v>315250</v>
      </c>
      <c r="E16" s="96">
        <v>261117</v>
      </c>
      <c r="F16" s="90">
        <f t="shared" si="0"/>
        <v>82.828548770816809</v>
      </c>
      <c r="G16" s="96">
        <v>315544</v>
      </c>
      <c r="H16" s="96">
        <v>261205</v>
      </c>
      <c r="I16" s="90">
        <f t="shared" si="1"/>
        <v>82.779263747686542</v>
      </c>
      <c r="K16" s="25"/>
      <c r="L16" s="25"/>
      <c r="N16" s="26"/>
      <c r="O16" s="26"/>
      <c r="Q16" s="14"/>
      <c r="R16" s="14"/>
    </row>
    <row r="17" spans="2:18" ht="23.1" customHeight="1" x14ac:dyDescent="0.25">
      <c r="B17" s="443" t="s">
        <v>359</v>
      </c>
      <c r="C17" s="443"/>
      <c r="D17" s="128">
        <f>SUM(D14:D16)</f>
        <v>9542698</v>
      </c>
      <c r="E17" s="128">
        <f t="shared" ref="E17" si="2">SUM(E14:E16)</f>
        <v>409108</v>
      </c>
      <c r="F17" s="152">
        <f t="shared" si="0"/>
        <v>4.2871313752148508</v>
      </c>
      <c r="G17" s="128">
        <f>SUM(G14:G16)</f>
        <v>9782162</v>
      </c>
      <c r="H17" s="128">
        <f>SUM(H14:H16)</f>
        <v>415810</v>
      </c>
      <c r="I17" s="152">
        <f t="shared" si="1"/>
        <v>4.2506963184621149</v>
      </c>
      <c r="K17" s="14"/>
      <c r="L17" s="25"/>
      <c r="N17" s="26"/>
      <c r="O17" s="26"/>
      <c r="Q17" s="14"/>
      <c r="R17" s="14"/>
    </row>
    <row r="18" spans="2:18" ht="16.5" customHeight="1" x14ac:dyDescent="0.25">
      <c r="B18" s="160"/>
      <c r="C18" s="161" t="s">
        <v>360</v>
      </c>
      <c r="D18" s="131"/>
      <c r="E18" s="131"/>
      <c r="F18" s="90"/>
      <c r="G18" s="131"/>
      <c r="H18" s="131"/>
      <c r="I18" s="90"/>
      <c r="K18" s="14"/>
      <c r="L18" s="25"/>
      <c r="N18" s="26"/>
      <c r="O18" s="26"/>
    </row>
    <row r="19" spans="2:18" ht="23.1" customHeight="1" x14ac:dyDescent="0.25">
      <c r="B19" s="102" t="s">
        <v>253</v>
      </c>
      <c r="C19" s="162" t="s">
        <v>304</v>
      </c>
      <c r="D19" s="141">
        <f t="shared" ref="D19:E21" si="3">D9+D14</f>
        <v>16851776</v>
      </c>
      <c r="E19" s="141">
        <f t="shared" si="3"/>
        <v>178943</v>
      </c>
      <c r="F19" s="163">
        <f t="shared" si="0"/>
        <v>1.0618643399959744</v>
      </c>
      <c r="G19" s="141">
        <f t="shared" ref="G19:H21" si="4">G9+G14</f>
        <v>17461933</v>
      </c>
      <c r="H19" s="141">
        <f>H9+H14</f>
        <v>186716</v>
      </c>
      <c r="I19" s="163">
        <f t="shared" si="1"/>
        <v>1.0692745184625323</v>
      </c>
      <c r="J19" s="14"/>
      <c r="K19" s="14"/>
      <c r="L19" s="25"/>
      <c r="N19" s="26"/>
      <c r="O19" s="26"/>
      <c r="Q19" s="14"/>
      <c r="R19" s="14"/>
    </row>
    <row r="20" spans="2:18" ht="23.1" customHeight="1" x14ac:dyDescent="0.25">
      <c r="B20" s="102" t="s">
        <v>254</v>
      </c>
      <c r="C20" s="95" t="s">
        <v>305</v>
      </c>
      <c r="D20" s="141">
        <f t="shared" si="3"/>
        <v>1684897</v>
      </c>
      <c r="E20" s="141">
        <f t="shared" si="3"/>
        <v>179162</v>
      </c>
      <c r="F20" s="163">
        <f t="shared" si="0"/>
        <v>10.633409638690081</v>
      </c>
      <c r="G20" s="141">
        <f t="shared" si="4"/>
        <v>1698682</v>
      </c>
      <c r="H20" s="141">
        <f t="shared" si="4"/>
        <v>177477</v>
      </c>
      <c r="I20" s="163">
        <f t="shared" si="1"/>
        <v>10.447923743231517</v>
      </c>
      <c r="J20" s="14"/>
      <c r="K20" s="14"/>
      <c r="L20" s="25"/>
      <c r="N20" s="26"/>
      <c r="O20" s="26"/>
      <c r="Q20" s="14"/>
      <c r="R20" s="14"/>
    </row>
    <row r="21" spans="2:18" ht="23.1" customHeight="1" x14ac:dyDescent="0.25">
      <c r="B21" s="102" t="s">
        <v>255</v>
      </c>
      <c r="C21" s="95" t="s">
        <v>306</v>
      </c>
      <c r="D21" s="141">
        <f t="shared" si="3"/>
        <v>563855</v>
      </c>
      <c r="E21" s="141">
        <f t="shared" si="3"/>
        <v>474610</v>
      </c>
      <c r="F21" s="163">
        <f t="shared" si="0"/>
        <v>84.17234927419284</v>
      </c>
      <c r="G21" s="141">
        <f t="shared" si="4"/>
        <v>554007</v>
      </c>
      <c r="H21" s="141">
        <f t="shared" si="4"/>
        <v>464361</v>
      </c>
      <c r="I21" s="163">
        <f t="shared" si="1"/>
        <v>83.818616010267021</v>
      </c>
      <c r="J21" s="14"/>
      <c r="K21" s="25"/>
      <c r="L21" s="25"/>
      <c r="N21" s="14"/>
      <c r="O21" s="14"/>
      <c r="Q21" s="14"/>
      <c r="R21" s="14"/>
    </row>
    <row r="22" spans="2:18" ht="23.1" customHeight="1" x14ac:dyDescent="0.25">
      <c r="B22" s="448" t="s">
        <v>361</v>
      </c>
      <c r="C22" s="448"/>
      <c r="D22" s="157">
        <f>SUM(D19:D21)</f>
        <v>19100528</v>
      </c>
      <c r="E22" s="157">
        <f>SUM(E19:E21)</f>
        <v>832715</v>
      </c>
      <c r="F22" s="152">
        <f>E22/D22*100</f>
        <v>4.3596438800016415</v>
      </c>
      <c r="G22" s="157">
        <f>SUM(G19:G21)</f>
        <v>19714622</v>
      </c>
      <c r="H22" s="157">
        <f>SUM(H19:H21)</f>
        <v>828554</v>
      </c>
      <c r="I22" s="152">
        <f t="shared" si="1"/>
        <v>4.2027384547367941</v>
      </c>
      <c r="K22" s="25"/>
      <c r="L22" s="25"/>
      <c r="N22" s="14"/>
      <c r="O22" s="14"/>
      <c r="Q22" s="14"/>
      <c r="R22" s="14"/>
    </row>
    <row r="23" spans="2:18" x14ac:dyDescent="0.25">
      <c r="K23" s="14"/>
      <c r="L23" s="14"/>
    </row>
    <row r="24" spans="2:18" x14ac:dyDescent="0.25">
      <c r="G24" s="14"/>
      <c r="H24" s="14"/>
    </row>
    <row r="25" spans="2:18" x14ac:dyDescent="0.25">
      <c r="E25" s="14"/>
    </row>
  </sheetData>
  <mergeCells count="8">
    <mergeCell ref="B4:I4"/>
    <mergeCell ref="B5:B6"/>
    <mergeCell ref="B12:C12"/>
    <mergeCell ref="B17:C17"/>
    <mergeCell ref="B22:C22"/>
    <mergeCell ref="C5:C6"/>
    <mergeCell ref="D5:F5"/>
    <mergeCell ref="G5:I5"/>
  </mergeCells>
  <pageMargins left="0.7" right="0.7" top="0.75" bottom="0.75" header="0.3" footer="0.3"/>
  <pageSetup scale="92" fitToHeight="0" orientation="landscape" r:id="rId1"/>
  <ignoredErrors>
    <ignoredError sqref="F12 F17 F19:F22" formula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B1CC9-11FF-472F-A1AD-907F469DECC4}">
  <dimension ref="B3:F9"/>
  <sheetViews>
    <sheetView workbookViewId="0"/>
  </sheetViews>
  <sheetFormatPr defaultRowHeight="15" x14ac:dyDescent="0.25"/>
  <cols>
    <col min="3" max="3" width="23.42578125" customWidth="1"/>
    <col min="4" max="4" width="14.140625" customWidth="1"/>
    <col min="5" max="5" width="14.85546875" customWidth="1"/>
    <col min="6" max="6" width="13.140625" customWidth="1"/>
  </cols>
  <sheetData>
    <row r="3" spans="2:6" ht="15.75" thickBot="1" x14ac:dyDescent="0.3">
      <c r="B3" s="334"/>
      <c r="C3" s="334"/>
      <c r="D3" s="334"/>
      <c r="E3" s="334"/>
      <c r="F3" s="334"/>
    </row>
    <row r="4" spans="2:6" ht="16.5" thickTop="1" x14ac:dyDescent="0.25">
      <c r="B4" s="454" t="s">
        <v>1324</v>
      </c>
      <c r="C4" s="454"/>
      <c r="D4" s="454"/>
      <c r="E4" s="454"/>
      <c r="F4" s="454"/>
    </row>
    <row r="5" spans="2:6" ht="15.75" x14ac:dyDescent="0.25">
      <c r="B5" s="170" t="s">
        <v>100</v>
      </c>
      <c r="C5" s="330" t="s">
        <v>749</v>
      </c>
      <c r="D5" s="330" t="s">
        <v>116</v>
      </c>
      <c r="E5" s="330" t="s">
        <v>45</v>
      </c>
      <c r="F5" s="330" t="s">
        <v>18</v>
      </c>
    </row>
    <row r="6" spans="2:6" x14ac:dyDescent="0.25">
      <c r="B6" s="104">
        <v>1</v>
      </c>
      <c r="C6" s="331" t="s">
        <v>750</v>
      </c>
      <c r="D6" s="331">
        <v>3</v>
      </c>
      <c r="E6" s="331">
        <v>4</v>
      </c>
      <c r="F6" s="331">
        <v>5</v>
      </c>
    </row>
    <row r="7" spans="2:6" ht="15.75" x14ac:dyDescent="0.25">
      <c r="B7" s="98" t="s">
        <v>247</v>
      </c>
      <c r="C7" s="332" t="s">
        <v>738</v>
      </c>
      <c r="D7" s="309">
        <v>4</v>
      </c>
      <c r="E7" s="309">
        <v>3.8</v>
      </c>
      <c r="F7" s="309">
        <v>3.9</v>
      </c>
    </row>
    <row r="8" spans="2:6" ht="15.75" x14ac:dyDescent="0.25">
      <c r="B8" s="98" t="s">
        <v>248</v>
      </c>
      <c r="C8" s="332" t="s">
        <v>739</v>
      </c>
      <c r="D8" s="309">
        <v>2.6</v>
      </c>
      <c r="E8" s="309">
        <v>3.3</v>
      </c>
      <c r="F8" s="309">
        <v>3</v>
      </c>
    </row>
    <row r="9" spans="2:6" ht="15.75" x14ac:dyDescent="0.25">
      <c r="B9" s="98" t="s">
        <v>249</v>
      </c>
      <c r="C9" s="332" t="s">
        <v>740</v>
      </c>
      <c r="D9" s="309">
        <v>2.4</v>
      </c>
      <c r="E9" s="309">
        <v>3.2</v>
      </c>
      <c r="F9" s="309">
        <v>2.8</v>
      </c>
    </row>
  </sheetData>
  <mergeCells count="1">
    <mergeCell ref="B4:F4"/>
  </mergeCells>
  <pageMargins left="0.7" right="0.7" top="0.75" bottom="0.75" header="0.3" footer="0.3"/>
  <ignoredErrors>
    <ignoredError sqref="C6" numberStoredAsText="1"/>
  </ignoredErrors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BD2B-87C6-4BC6-A2A4-2BCBC6302B37}">
  <dimension ref="B3:M33"/>
  <sheetViews>
    <sheetView topLeftCell="A5" workbookViewId="0">
      <selection activeCell="C21" sqref="C21"/>
    </sheetView>
  </sheetViews>
  <sheetFormatPr defaultRowHeight="15" x14ac:dyDescent="0.25"/>
  <cols>
    <col min="2" max="2" width="6.140625" customWidth="1"/>
    <col min="3" max="3" width="55" customWidth="1"/>
    <col min="4" max="4" width="13.5703125" customWidth="1"/>
    <col min="5" max="6" width="13.42578125" customWidth="1"/>
    <col min="7" max="7" width="12.5703125" customWidth="1"/>
    <col min="8" max="8" width="11.28515625" customWidth="1"/>
    <col min="9" max="9" width="10.140625" customWidth="1"/>
    <col min="10" max="10" width="9.7109375" customWidth="1"/>
    <col min="13" max="13" width="11.7109375" customWidth="1"/>
  </cols>
  <sheetData>
    <row r="3" spans="2:13" ht="16.5" thickBot="1" x14ac:dyDescent="0.3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262"/>
      <c r="M3" s="343" t="s">
        <v>271</v>
      </c>
    </row>
    <row r="4" spans="2:13" ht="15.75" customHeight="1" thickTop="1" x14ac:dyDescent="0.25">
      <c r="B4" s="454" t="s">
        <v>1325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</row>
    <row r="5" spans="2:13" ht="51" x14ac:dyDescent="0.25">
      <c r="B5" s="170" t="s">
        <v>100</v>
      </c>
      <c r="C5" s="170"/>
      <c r="D5" s="48" t="s">
        <v>304</v>
      </c>
      <c r="E5" s="48" t="s">
        <v>305</v>
      </c>
      <c r="F5" s="48" t="s">
        <v>306</v>
      </c>
      <c r="G5" s="48" t="s">
        <v>896</v>
      </c>
      <c r="H5" s="48" t="s">
        <v>897</v>
      </c>
      <c r="I5" s="48" t="s">
        <v>1390</v>
      </c>
      <c r="J5" s="48" t="s">
        <v>1391</v>
      </c>
      <c r="K5" s="48" t="s">
        <v>1392</v>
      </c>
      <c r="L5" s="335" t="s">
        <v>853</v>
      </c>
      <c r="M5" s="48" t="s">
        <v>447</v>
      </c>
    </row>
    <row r="6" spans="2:13" s="33" customFormat="1" ht="12.75" x14ac:dyDescent="0.2">
      <c r="B6" s="362">
        <v>1</v>
      </c>
      <c r="C6" s="314">
        <v>2</v>
      </c>
      <c r="D6" s="362">
        <v>3</v>
      </c>
      <c r="E6" s="362">
        <v>4</v>
      </c>
      <c r="F6" s="362">
        <v>5</v>
      </c>
      <c r="G6" s="362">
        <v>6</v>
      </c>
      <c r="H6" s="362" t="s">
        <v>898</v>
      </c>
      <c r="I6" s="362">
        <v>8</v>
      </c>
      <c r="J6" s="362">
        <v>9</v>
      </c>
      <c r="K6" s="362">
        <v>10</v>
      </c>
      <c r="L6" s="314">
        <v>11</v>
      </c>
      <c r="M6" s="436" t="s">
        <v>1308</v>
      </c>
    </row>
    <row r="7" spans="2:13" ht="20.25" customHeight="1" x14ac:dyDescent="0.25">
      <c r="B7" s="333" t="s">
        <v>247</v>
      </c>
      <c r="C7" s="437" t="s">
        <v>854</v>
      </c>
      <c r="D7" s="341">
        <f t="shared" ref="D7:K7" si="0">SUM(D8:D28)</f>
        <v>8612567</v>
      </c>
      <c r="E7" s="341">
        <f t="shared" si="0"/>
        <v>1081430</v>
      </c>
      <c r="F7" s="341">
        <f t="shared" si="0"/>
        <v>238463</v>
      </c>
      <c r="G7" s="341">
        <f t="shared" si="0"/>
        <v>9932460</v>
      </c>
      <c r="H7" s="435">
        <f>F7/G7%</f>
        <v>2.4008453092184614</v>
      </c>
      <c r="I7" s="341">
        <f t="shared" si="0"/>
        <v>93685</v>
      </c>
      <c r="J7" s="341">
        <f t="shared" si="0"/>
        <v>115903</v>
      </c>
      <c r="K7" s="341">
        <f t="shared" si="0"/>
        <v>203156</v>
      </c>
      <c r="L7" s="342">
        <f>I7+J7+K7</f>
        <v>412744</v>
      </c>
      <c r="M7" s="438">
        <f>K7/F7%</f>
        <v>85.193929456561392</v>
      </c>
    </row>
    <row r="8" spans="2:13" x14ac:dyDescent="0.25">
      <c r="B8" s="102" t="s">
        <v>58</v>
      </c>
      <c r="C8" s="336" t="s">
        <v>855</v>
      </c>
      <c r="D8" s="337">
        <v>90411</v>
      </c>
      <c r="E8" s="337">
        <v>22774</v>
      </c>
      <c r="F8" s="337">
        <v>22922</v>
      </c>
      <c r="G8" s="337">
        <f>D8+E8+F8</f>
        <v>136107</v>
      </c>
      <c r="H8" s="344">
        <f t="shared" ref="H8:H33" si="1">F8/G8%</f>
        <v>16.841161733048263</v>
      </c>
      <c r="I8" s="337">
        <v>1239</v>
      </c>
      <c r="J8" s="337">
        <v>2349</v>
      </c>
      <c r="K8" s="337">
        <v>19728</v>
      </c>
      <c r="L8" s="338">
        <f t="shared" ref="L8:L27" si="2">I8+J8+K8</f>
        <v>23316</v>
      </c>
      <c r="M8" s="414">
        <f>K8/F8%</f>
        <v>86.065788325626031</v>
      </c>
    </row>
    <row r="9" spans="2:13" x14ac:dyDescent="0.25">
      <c r="B9" s="102" t="s">
        <v>88</v>
      </c>
      <c r="C9" s="336" t="s">
        <v>856</v>
      </c>
      <c r="D9" s="337">
        <v>41474</v>
      </c>
      <c r="E9" s="337">
        <v>38673</v>
      </c>
      <c r="F9" s="337">
        <v>282</v>
      </c>
      <c r="G9" s="337">
        <f t="shared" ref="G9:G28" si="3">D9+E9+F9</f>
        <v>80429</v>
      </c>
      <c r="H9" s="344">
        <f t="shared" si="1"/>
        <v>0.35061980131544596</v>
      </c>
      <c r="I9" s="337">
        <v>470</v>
      </c>
      <c r="J9" s="337">
        <v>4359</v>
      </c>
      <c r="K9" s="337">
        <v>248</v>
      </c>
      <c r="L9" s="338">
        <f t="shared" si="2"/>
        <v>5077</v>
      </c>
      <c r="M9" s="414">
        <f t="shared" ref="M9:M32" si="4">K9/F9%</f>
        <v>87.943262411347519</v>
      </c>
    </row>
    <row r="10" spans="2:13" x14ac:dyDescent="0.25">
      <c r="B10" s="102" t="s">
        <v>274</v>
      </c>
      <c r="C10" s="336" t="s">
        <v>857</v>
      </c>
      <c r="D10" s="337">
        <v>1935833</v>
      </c>
      <c r="E10" s="337">
        <v>321841</v>
      </c>
      <c r="F10" s="337">
        <v>75429</v>
      </c>
      <c r="G10" s="337">
        <f t="shared" si="3"/>
        <v>2333103</v>
      </c>
      <c r="H10" s="344">
        <f t="shared" si="1"/>
        <v>3.2329905709263587</v>
      </c>
      <c r="I10" s="337">
        <v>23694</v>
      </c>
      <c r="J10" s="337">
        <v>37473</v>
      </c>
      <c r="K10" s="337">
        <v>60091</v>
      </c>
      <c r="L10" s="338">
        <f t="shared" si="2"/>
        <v>121258</v>
      </c>
      <c r="M10" s="414">
        <f t="shared" si="4"/>
        <v>79.665645839133489</v>
      </c>
    </row>
    <row r="11" spans="2:13" ht="30" x14ac:dyDescent="0.25">
      <c r="B11" s="102" t="s">
        <v>275</v>
      </c>
      <c r="C11" s="336" t="s">
        <v>858</v>
      </c>
      <c r="D11" s="337">
        <v>285040</v>
      </c>
      <c r="E11" s="337">
        <v>34211</v>
      </c>
      <c r="F11" s="337">
        <v>0</v>
      </c>
      <c r="G11" s="337">
        <f t="shared" si="3"/>
        <v>319251</v>
      </c>
      <c r="H11" s="344">
        <f t="shared" si="1"/>
        <v>0</v>
      </c>
      <c r="I11" s="337">
        <v>3537</v>
      </c>
      <c r="J11" s="337">
        <v>7688</v>
      </c>
      <c r="K11" s="337">
        <v>0</v>
      </c>
      <c r="L11" s="338">
        <f t="shared" si="2"/>
        <v>11225</v>
      </c>
      <c r="M11" s="413" t="s">
        <v>80</v>
      </c>
    </row>
    <row r="12" spans="2:13" ht="30" x14ac:dyDescent="0.25">
      <c r="B12" s="102" t="s">
        <v>276</v>
      </c>
      <c r="C12" s="336" t="s">
        <v>859</v>
      </c>
      <c r="D12" s="337">
        <v>45607</v>
      </c>
      <c r="E12" s="337">
        <v>4172</v>
      </c>
      <c r="F12" s="337">
        <v>9067</v>
      </c>
      <c r="G12" s="337">
        <f t="shared" si="3"/>
        <v>58846</v>
      </c>
      <c r="H12" s="344">
        <f t="shared" si="1"/>
        <v>15.408014138599054</v>
      </c>
      <c r="I12" s="337">
        <v>444</v>
      </c>
      <c r="J12" s="337">
        <v>317</v>
      </c>
      <c r="K12" s="337">
        <v>9067</v>
      </c>
      <c r="L12" s="338">
        <f t="shared" si="2"/>
        <v>9828</v>
      </c>
      <c r="M12" s="414">
        <f t="shared" si="4"/>
        <v>100</v>
      </c>
    </row>
    <row r="13" spans="2:13" x14ac:dyDescent="0.25">
      <c r="B13" s="102" t="s">
        <v>399</v>
      </c>
      <c r="C13" s="336" t="s">
        <v>860</v>
      </c>
      <c r="D13" s="337">
        <v>725985</v>
      </c>
      <c r="E13" s="337">
        <v>80990</v>
      </c>
      <c r="F13" s="337">
        <v>8180</v>
      </c>
      <c r="G13" s="337">
        <f t="shared" si="3"/>
        <v>815155</v>
      </c>
      <c r="H13" s="344">
        <f t="shared" si="1"/>
        <v>1.0034901337782385</v>
      </c>
      <c r="I13" s="337">
        <v>7832</v>
      </c>
      <c r="J13" s="337">
        <v>5202</v>
      </c>
      <c r="K13" s="337">
        <v>6555</v>
      </c>
      <c r="L13" s="338">
        <f t="shared" si="2"/>
        <v>19589</v>
      </c>
      <c r="M13" s="414">
        <f t="shared" si="4"/>
        <v>80.134474327628368</v>
      </c>
    </row>
    <row r="14" spans="2:13" x14ac:dyDescent="0.25">
      <c r="B14" s="102" t="s">
        <v>861</v>
      </c>
      <c r="C14" s="336" t="s">
        <v>862</v>
      </c>
      <c r="D14" s="337">
        <v>3092974</v>
      </c>
      <c r="E14" s="337">
        <v>287732</v>
      </c>
      <c r="F14" s="337">
        <v>65678</v>
      </c>
      <c r="G14" s="337">
        <f t="shared" si="3"/>
        <v>3446384</v>
      </c>
      <c r="H14" s="344">
        <f t="shared" si="1"/>
        <v>1.9057075473887997</v>
      </c>
      <c r="I14" s="337">
        <v>30147</v>
      </c>
      <c r="J14" s="337">
        <v>25497</v>
      </c>
      <c r="K14" s="337">
        <v>57605</v>
      </c>
      <c r="L14" s="338">
        <f t="shared" si="2"/>
        <v>113249</v>
      </c>
      <c r="M14" s="414">
        <f t="shared" si="4"/>
        <v>87.708212795761142</v>
      </c>
    </row>
    <row r="15" spans="2:13" x14ac:dyDescent="0.25">
      <c r="B15" s="102" t="s">
        <v>863</v>
      </c>
      <c r="C15" s="336" t="s">
        <v>864</v>
      </c>
      <c r="D15" s="337">
        <v>327015</v>
      </c>
      <c r="E15" s="337">
        <v>60677</v>
      </c>
      <c r="F15" s="337">
        <v>8642</v>
      </c>
      <c r="G15" s="337">
        <f t="shared" si="3"/>
        <v>396334</v>
      </c>
      <c r="H15" s="344">
        <f t="shared" si="1"/>
        <v>2.1804841371166743</v>
      </c>
      <c r="I15" s="337">
        <v>3893</v>
      </c>
      <c r="J15" s="337">
        <v>8415</v>
      </c>
      <c r="K15" s="337">
        <v>7655</v>
      </c>
      <c r="L15" s="338">
        <f t="shared" si="2"/>
        <v>19963</v>
      </c>
      <c r="M15" s="414">
        <f t="shared" si="4"/>
        <v>88.579032631335338</v>
      </c>
    </row>
    <row r="16" spans="2:13" ht="30" x14ac:dyDescent="0.25">
      <c r="B16" s="102" t="s">
        <v>865</v>
      </c>
      <c r="C16" s="336" t="s">
        <v>866</v>
      </c>
      <c r="D16" s="337">
        <v>165234</v>
      </c>
      <c r="E16" s="337">
        <v>33499</v>
      </c>
      <c r="F16" s="337">
        <v>30454</v>
      </c>
      <c r="G16" s="337">
        <f t="shared" si="3"/>
        <v>229187</v>
      </c>
      <c r="H16" s="344">
        <f t="shared" si="1"/>
        <v>13.287839188086584</v>
      </c>
      <c r="I16" s="337">
        <v>1775</v>
      </c>
      <c r="J16" s="337">
        <v>3821</v>
      </c>
      <c r="K16" s="337">
        <v>28613</v>
      </c>
      <c r="L16" s="338">
        <f t="shared" si="2"/>
        <v>34209</v>
      </c>
      <c r="M16" s="414">
        <f t="shared" si="4"/>
        <v>93.954817101201812</v>
      </c>
    </row>
    <row r="17" spans="2:13" x14ac:dyDescent="0.25">
      <c r="B17" s="102" t="s">
        <v>867</v>
      </c>
      <c r="C17" s="336" t="s">
        <v>868</v>
      </c>
      <c r="D17" s="337">
        <v>166329</v>
      </c>
      <c r="E17" s="337">
        <v>23065</v>
      </c>
      <c r="F17" s="337">
        <v>3801</v>
      </c>
      <c r="G17" s="337">
        <f t="shared" si="3"/>
        <v>193195</v>
      </c>
      <c r="H17" s="344">
        <f t="shared" si="1"/>
        <v>1.9674422215895857</v>
      </c>
      <c r="I17" s="337">
        <v>1811</v>
      </c>
      <c r="J17" s="337">
        <v>1651</v>
      </c>
      <c r="K17" s="337">
        <v>2892</v>
      </c>
      <c r="L17" s="338">
        <f t="shared" si="2"/>
        <v>6354</v>
      </c>
      <c r="M17" s="414">
        <f t="shared" si="4"/>
        <v>76.085240726124709</v>
      </c>
    </row>
    <row r="18" spans="2:13" x14ac:dyDescent="0.25">
      <c r="B18" s="102" t="s">
        <v>869</v>
      </c>
      <c r="C18" s="336" t="s">
        <v>870</v>
      </c>
      <c r="D18" s="337">
        <v>668058</v>
      </c>
      <c r="E18" s="337">
        <v>17824</v>
      </c>
      <c r="F18" s="337">
        <v>259</v>
      </c>
      <c r="G18" s="337">
        <f t="shared" si="3"/>
        <v>686141</v>
      </c>
      <c r="H18" s="344">
        <f t="shared" si="1"/>
        <v>3.7747343476049383E-2</v>
      </c>
      <c r="I18" s="337">
        <v>5575</v>
      </c>
      <c r="J18" s="337">
        <v>805</v>
      </c>
      <c r="K18" s="337">
        <v>207</v>
      </c>
      <c r="L18" s="338">
        <f t="shared" si="2"/>
        <v>6587</v>
      </c>
      <c r="M18" s="414">
        <f t="shared" si="4"/>
        <v>79.922779922779924</v>
      </c>
    </row>
    <row r="19" spans="2:13" x14ac:dyDescent="0.25">
      <c r="B19" s="102" t="s">
        <v>871</v>
      </c>
      <c r="C19" s="336" t="s">
        <v>872</v>
      </c>
      <c r="D19" s="337">
        <v>135726</v>
      </c>
      <c r="E19" s="337">
        <v>63175</v>
      </c>
      <c r="F19" s="337">
        <v>2378</v>
      </c>
      <c r="G19" s="337">
        <f t="shared" si="3"/>
        <v>201279</v>
      </c>
      <c r="H19" s="344">
        <f t="shared" si="1"/>
        <v>1.1814446613904084</v>
      </c>
      <c r="I19" s="337">
        <v>1579</v>
      </c>
      <c r="J19" s="337">
        <v>10908</v>
      </c>
      <c r="K19" s="337">
        <v>1446</v>
      </c>
      <c r="L19" s="338">
        <f t="shared" si="2"/>
        <v>13933</v>
      </c>
      <c r="M19" s="414">
        <f t="shared" si="4"/>
        <v>60.807401177460051</v>
      </c>
    </row>
    <row r="20" spans="2:13" x14ac:dyDescent="0.25">
      <c r="B20" s="102" t="s">
        <v>873</v>
      </c>
      <c r="C20" s="336" t="s">
        <v>874</v>
      </c>
      <c r="D20" s="337">
        <v>233923</v>
      </c>
      <c r="E20" s="337">
        <v>28543</v>
      </c>
      <c r="F20" s="337">
        <v>6334</v>
      </c>
      <c r="G20" s="337">
        <f t="shared" si="3"/>
        <v>268800</v>
      </c>
      <c r="H20" s="344">
        <f t="shared" si="1"/>
        <v>2.3563988095238093</v>
      </c>
      <c r="I20" s="337">
        <v>2851</v>
      </c>
      <c r="J20" s="337">
        <v>2386</v>
      </c>
      <c r="K20" s="337">
        <v>5915</v>
      </c>
      <c r="L20" s="338">
        <f t="shared" si="2"/>
        <v>11152</v>
      </c>
      <c r="M20" s="414">
        <f t="shared" si="4"/>
        <v>93.384906851910316</v>
      </c>
    </row>
    <row r="21" spans="2:13" x14ac:dyDescent="0.25">
      <c r="B21" s="102" t="s">
        <v>875</v>
      </c>
      <c r="C21" s="336" t="s">
        <v>876</v>
      </c>
      <c r="D21" s="337">
        <v>56517</v>
      </c>
      <c r="E21" s="337">
        <v>14687</v>
      </c>
      <c r="F21" s="337">
        <v>2074</v>
      </c>
      <c r="G21" s="337">
        <f t="shared" si="3"/>
        <v>73278</v>
      </c>
      <c r="H21" s="344">
        <f t="shared" si="1"/>
        <v>2.8303174213270013</v>
      </c>
      <c r="I21" s="337">
        <v>624</v>
      </c>
      <c r="J21" s="337">
        <v>856</v>
      </c>
      <c r="K21" s="337">
        <v>1882</v>
      </c>
      <c r="L21" s="338">
        <f t="shared" si="2"/>
        <v>3362</v>
      </c>
      <c r="M21" s="414">
        <f t="shared" si="4"/>
        <v>90.742526518804254</v>
      </c>
    </row>
    <row r="22" spans="2:13" x14ac:dyDescent="0.25">
      <c r="B22" s="160" t="s">
        <v>877</v>
      </c>
      <c r="C22" s="159" t="s">
        <v>878</v>
      </c>
      <c r="D22" s="339">
        <v>515088</v>
      </c>
      <c r="E22" s="339">
        <v>13991</v>
      </c>
      <c r="F22" s="339">
        <v>1900</v>
      </c>
      <c r="G22" s="337">
        <f t="shared" si="3"/>
        <v>530979</v>
      </c>
      <c r="H22" s="344">
        <f t="shared" si="1"/>
        <v>0.35782959401407588</v>
      </c>
      <c r="I22" s="339">
        <v>5778</v>
      </c>
      <c r="J22" s="339">
        <v>995</v>
      </c>
      <c r="K22" s="339">
        <v>480</v>
      </c>
      <c r="L22" s="338">
        <f t="shared" si="2"/>
        <v>7253</v>
      </c>
      <c r="M22" s="414">
        <f t="shared" si="4"/>
        <v>25.263157894736842</v>
      </c>
    </row>
    <row r="23" spans="2:13" x14ac:dyDescent="0.25">
      <c r="B23" s="160" t="s">
        <v>879</v>
      </c>
      <c r="C23" s="159" t="s">
        <v>880</v>
      </c>
      <c r="D23" s="339">
        <v>21715</v>
      </c>
      <c r="E23" s="339">
        <v>402</v>
      </c>
      <c r="F23" s="339">
        <v>240</v>
      </c>
      <c r="G23" s="337">
        <f t="shared" si="3"/>
        <v>22357</v>
      </c>
      <c r="H23" s="344">
        <f t="shared" si="1"/>
        <v>1.0734892874714854</v>
      </c>
      <c r="I23" s="339">
        <v>246</v>
      </c>
      <c r="J23" s="339">
        <v>38</v>
      </c>
      <c r="K23" s="339">
        <v>225</v>
      </c>
      <c r="L23" s="338">
        <f t="shared" si="2"/>
        <v>509</v>
      </c>
      <c r="M23" s="414">
        <f t="shared" si="4"/>
        <v>93.75</v>
      </c>
    </row>
    <row r="24" spans="2:13" x14ac:dyDescent="0.25">
      <c r="B24" s="102" t="s">
        <v>881</v>
      </c>
      <c r="C24" s="336" t="s">
        <v>882</v>
      </c>
      <c r="D24" s="337">
        <v>71783</v>
      </c>
      <c r="E24" s="337">
        <v>1089</v>
      </c>
      <c r="F24" s="337">
        <v>590</v>
      </c>
      <c r="G24" s="337">
        <f t="shared" si="3"/>
        <v>73462</v>
      </c>
      <c r="H24" s="344">
        <f t="shared" si="1"/>
        <v>0.80313631537393482</v>
      </c>
      <c r="I24" s="337">
        <v>1654</v>
      </c>
      <c r="J24" s="337">
        <v>60</v>
      </c>
      <c r="K24" s="337">
        <v>349</v>
      </c>
      <c r="L24" s="338">
        <f t="shared" si="2"/>
        <v>2063</v>
      </c>
      <c r="M24" s="414">
        <f t="shared" si="4"/>
        <v>59.152542372881349</v>
      </c>
    </row>
    <row r="25" spans="2:13" x14ac:dyDescent="0.25">
      <c r="B25" s="102" t="s">
        <v>883</v>
      </c>
      <c r="C25" s="336" t="s">
        <v>884</v>
      </c>
      <c r="D25" s="337">
        <v>10140</v>
      </c>
      <c r="E25" s="337">
        <v>29755</v>
      </c>
      <c r="F25" s="337">
        <v>52</v>
      </c>
      <c r="G25" s="337">
        <f t="shared" si="3"/>
        <v>39947</v>
      </c>
      <c r="H25" s="344">
        <f t="shared" si="1"/>
        <v>0.13017247853405761</v>
      </c>
      <c r="I25" s="337">
        <v>106</v>
      </c>
      <c r="J25" s="337">
        <v>2160</v>
      </c>
      <c r="K25" s="337">
        <v>52</v>
      </c>
      <c r="L25" s="338">
        <f t="shared" si="2"/>
        <v>2318</v>
      </c>
      <c r="M25" s="414">
        <f t="shared" si="4"/>
        <v>100</v>
      </c>
    </row>
    <row r="26" spans="2:13" x14ac:dyDescent="0.25">
      <c r="B26" s="102" t="s">
        <v>885</v>
      </c>
      <c r="C26" s="336" t="s">
        <v>886</v>
      </c>
      <c r="D26" s="337">
        <v>23713</v>
      </c>
      <c r="E26" s="337">
        <v>4330</v>
      </c>
      <c r="F26" s="337">
        <v>181</v>
      </c>
      <c r="G26" s="337">
        <f t="shared" si="3"/>
        <v>28224</v>
      </c>
      <c r="H26" s="344">
        <f t="shared" si="1"/>
        <v>0.64129818594104304</v>
      </c>
      <c r="I26" s="337">
        <v>430</v>
      </c>
      <c r="J26" s="337">
        <v>923</v>
      </c>
      <c r="K26" s="337">
        <v>146</v>
      </c>
      <c r="L26" s="338">
        <f t="shared" si="2"/>
        <v>1499</v>
      </c>
      <c r="M26" s="414">
        <f t="shared" si="4"/>
        <v>80.662983425414367</v>
      </c>
    </row>
    <row r="27" spans="2:13" ht="45" x14ac:dyDescent="0.25">
      <c r="B27" s="102" t="s">
        <v>887</v>
      </c>
      <c r="C27" s="336" t="s">
        <v>888</v>
      </c>
      <c r="D27" s="337">
        <v>0</v>
      </c>
      <c r="E27" s="337">
        <v>0</v>
      </c>
      <c r="F27" s="337">
        <v>0</v>
      </c>
      <c r="G27" s="337">
        <f t="shared" si="3"/>
        <v>0</v>
      </c>
      <c r="H27" s="344" t="s">
        <v>80</v>
      </c>
      <c r="I27" s="337">
        <v>0</v>
      </c>
      <c r="J27" s="337">
        <v>0</v>
      </c>
      <c r="K27" s="337">
        <v>0</v>
      </c>
      <c r="L27" s="338">
        <f t="shared" si="2"/>
        <v>0</v>
      </c>
      <c r="M27" s="413" t="s">
        <v>80</v>
      </c>
    </row>
    <row r="28" spans="2:13" x14ac:dyDescent="0.25">
      <c r="B28" s="102" t="s">
        <v>889</v>
      </c>
      <c r="C28" s="336" t="s">
        <v>890</v>
      </c>
      <c r="D28" s="337">
        <v>2</v>
      </c>
      <c r="E28" s="337">
        <v>0</v>
      </c>
      <c r="F28" s="337">
        <v>0</v>
      </c>
      <c r="G28" s="337">
        <f t="shared" si="3"/>
        <v>2</v>
      </c>
      <c r="H28" s="344">
        <f t="shared" si="1"/>
        <v>0</v>
      </c>
      <c r="I28" s="337">
        <v>0</v>
      </c>
      <c r="J28" s="337">
        <v>0</v>
      </c>
      <c r="K28" s="337">
        <v>0</v>
      </c>
      <c r="L28" s="338">
        <f>I28+J28+K28</f>
        <v>0</v>
      </c>
      <c r="M28" s="413" t="s">
        <v>80</v>
      </c>
    </row>
    <row r="29" spans="2:13" ht="22.5" customHeight="1" x14ac:dyDescent="0.25">
      <c r="B29" s="333" t="s">
        <v>248</v>
      </c>
      <c r="C29" s="340" t="s">
        <v>891</v>
      </c>
      <c r="D29" s="341">
        <f t="shared" ref="D29:K29" si="5">SUM(D30:D32)</f>
        <v>8849366</v>
      </c>
      <c r="E29" s="341">
        <f t="shared" si="5"/>
        <v>617252</v>
      </c>
      <c r="F29" s="341">
        <f t="shared" si="5"/>
        <v>315544</v>
      </c>
      <c r="G29" s="341">
        <f t="shared" si="5"/>
        <v>9782162</v>
      </c>
      <c r="H29" s="435">
        <f t="shared" si="1"/>
        <v>3.2257081818927147</v>
      </c>
      <c r="I29" s="341">
        <f t="shared" si="5"/>
        <v>93031</v>
      </c>
      <c r="J29" s="341">
        <f t="shared" si="5"/>
        <v>61574</v>
      </c>
      <c r="K29" s="341">
        <f t="shared" si="5"/>
        <v>261205</v>
      </c>
      <c r="L29" s="342">
        <f>I29+J29+K29</f>
        <v>415810</v>
      </c>
      <c r="M29" s="403">
        <f t="shared" si="4"/>
        <v>82.779263747686528</v>
      </c>
    </row>
    <row r="30" spans="2:13" x14ac:dyDescent="0.25">
      <c r="B30" s="102" t="s">
        <v>277</v>
      </c>
      <c r="C30" s="336" t="s">
        <v>892</v>
      </c>
      <c r="D30" s="337">
        <v>6667068</v>
      </c>
      <c r="E30" s="337">
        <v>525360</v>
      </c>
      <c r="F30" s="337">
        <v>295860</v>
      </c>
      <c r="G30" s="337">
        <f>D30+E30+F30</f>
        <v>7488288</v>
      </c>
      <c r="H30" s="344">
        <f t="shared" si="1"/>
        <v>3.9509698344935447</v>
      </c>
      <c r="I30" s="337">
        <v>73239</v>
      </c>
      <c r="J30" s="337">
        <v>54095</v>
      </c>
      <c r="K30" s="337">
        <v>248386</v>
      </c>
      <c r="L30" s="338">
        <f>I30+J30+K30</f>
        <v>375720</v>
      </c>
      <c r="M30" s="345">
        <f t="shared" si="4"/>
        <v>83.953897113499636</v>
      </c>
    </row>
    <row r="31" spans="2:13" x14ac:dyDescent="0.25">
      <c r="B31" s="102" t="s">
        <v>278</v>
      </c>
      <c r="C31" s="336" t="s">
        <v>893</v>
      </c>
      <c r="D31" s="337">
        <v>2089243</v>
      </c>
      <c r="E31" s="337">
        <v>82355</v>
      </c>
      <c r="F31" s="337">
        <v>15948</v>
      </c>
      <c r="G31" s="337">
        <f t="shared" ref="G31:G32" si="6">D31+E31+F31</f>
        <v>2187546</v>
      </c>
      <c r="H31" s="344">
        <f t="shared" si="1"/>
        <v>0.72903609798376812</v>
      </c>
      <c r="I31" s="337">
        <v>18033</v>
      </c>
      <c r="J31" s="337">
        <v>6336</v>
      </c>
      <c r="K31" s="337">
        <v>9701</v>
      </c>
      <c r="L31" s="338">
        <f t="shared" ref="L31:L32" si="7">I31+J31+K31</f>
        <v>34070</v>
      </c>
      <c r="M31" s="345">
        <f t="shared" si="4"/>
        <v>60.828944068221723</v>
      </c>
    </row>
    <row r="32" spans="2:13" x14ac:dyDescent="0.25">
      <c r="B32" s="102" t="s">
        <v>279</v>
      </c>
      <c r="C32" s="336" t="s">
        <v>894</v>
      </c>
      <c r="D32" s="337">
        <v>93055</v>
      </c>
      <c r="E32" s="337">
        <v>9537</v>
      </c>
      <c r="F32" s="337">
        <v>3736</v>
      </c>
      <c r="G32" s="337">
        <f t="shared" si="6"/>
        <v>106328</v>
      </c>
      <c r="H32" s="344">
        <f t="shared" si="1"/>
        <v>3.5136558573470769</v>
      </c>
      <c r="I32" s="337">
        <v>1759</v>
      </c>
      <c r="J32" s="337">
        <v>1143</v>
      </c>
      <c r="K32" s="337">
        <v>3118</v>
      </c>
      <c r="L32" s="338">
        <f t="shared" si="7"/>
        <v>6020</v>
      </c>
      <c r="M32" s="345">
        <f t="shared" si="4"/>
        <v>83.458244111349032</v>
      </c>
    </row>
    <row r="33" spans="2:13" ht="18.75" customHeight="1" x14ac:dyDescent="0.25">
      <c r="B33" s="333" t="s">
        <v>249</v>
      </c>
      <c r="C33" s="340" t="s">
        <v>895</v>
      </c>
      <c r="D33" s="341">
        <f t="shared" ref="D33:K33" si="8">D29+D7</f>
        <v>17461933</v>
      </c>
      <c r="E33" s="341">
        <f t="shared" si="8"/>
        <v>1698682</v>
      </c>
      <c r="F33" s="341">
        <f t="shared" si="8"/>
        <v>554007</v>
      </c>
      <c r="G33" s="341">
        <f t="shared" si="8"/>
        <v>19714622</v>
      </c>
      <c r="H33" s="435">
        <f t="shared" si="1"/>
        <v>2.810132499623883</v>
      </c>
      <c r="I33" s="341">
        <f t="shared" si="8"/>
        <v>186716</v>
      </c>
      <c r="J33" s="341">
        <f t="shared" si="8"/>
        <v>177477</v>
      </c>
      <c r="K33" s="341">
        <f t="shared" si="8"/>
        <v>464361</v>
      </c>
      <c r="L33" s="342">
        <f>L29+L7</f>
        <v>828554</v>
      </c>
      <c r="M33" s="403">
        <f>K33/F33%</f>
        <v>83.818616010267021</v>
      </c>
    </row>
  </sheetData>
  <mergeCells count="1">
    <mergeCell ref="B4:M4"/>
  </mergeCells>
  <pageMargins left="0.7" right="0.7" top="0.75" bottom="0.75" header="0.3" footer="0.3"/>
  <ignoredErrors>
    <ignoredError sqref="G29:H29 H33 H7" formula="1"/>
  </ignoredError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BCE5-F780-4240-9C90-C7E001673331}">
  <dimension ref="B3:N21"/>
  <sheetViews>
    <sheetView workbookViewId="0"/>
  </sheetViews>
  <sheetFormatPr defaultRowHeight="15" x14ac:dyDescent="0.25"/>
  <cols>
    <col min="3" max="3" width="34.42578125" customWidth="1"/>
    <col min="4" max="4" width="13.7109375" customWidth="1"/>
    <col min="5" max="5" width="10.140625" customWidth="1"/>
    <col min="6" max="6" width="13.7109375" customWidth="1"/>
    <col min="7" max="7" width="9.7109375" customWidth="1"/>
    <col min="10" max="11" width="10.7109375" bestFit="1" customWidth="1"/>
    <col min="12" max="12" width="10.140625" bestFit="1" customWidth="1"/>
    <col min="14" max="14" width="10.140625" bestFit="1" customWidth="1"/>
  </cols>
  <sheetData>
    <row r="3" spans="2:14" ht="16.5" thickBot="1" x14ac:dyDescent="0.3">
      <c r="B3" s="47"/>
      <c r="C3" s="47"/>
      <c r="D3" s="68"/>
      <c r="E3" s="68"/>
      <c r="F3" s="68"/>
      <c r="G3" s="68"/>
      <c r="H3" s="153" t="s">
        <v>262</v>
      </c>
    </row>
    <row r="4" spans="2:14" ht="24.95" customHeight="1" thickTop="1" x14ac:dyDescent="0.25">
      <c r="B4" s="454" t="s">
        <v>1326</v>
      </c>
      <c r="C4" s="454"/>
      <c r="D4" s="454"/>
      <c r="E4" s="454"/>
      <c r="F4" s="454"/>
      <c r="G4" s="454"/>
      <c r="H4" s="454"/>
    </row>
    <row r="5" spans="2:14" ht="15.75" x14ac:dyDescent="0.25">
      <c r="B5" s="448" t="s">
        <v>100</v>
      </c>
      <c r="C5" s="450" t="s">
        <v>570</v>
      </c>
      <c r="D5" s="450" t="s">
        <v>601</v>
      </c>
      <c r="E5" s="450"/>
      <c r="F5" s="450" t="s">
        <v>602</v>
      </c>
      <c r="G5" s="450"/>
      <c r="H5" s="84" t="s">
        <v>1</v>
      </c>
    </row>
    <row r="6" spans="2:14" ht="15.75" customHeight="1" x14ac:dyDescent="0.25">
      <c r="B6" s="448"/>
      <c r="C6" s="450"/>
      <c r="D6" s="84" t="s">
        <v>2</v>
      </c>
      <c r="E6" s="84" t="s">
        <v>20</v>
      </c>
      <c r="F6" s="84" t="s">
        <v>2</v>
      </c>
      <c r="G6" s="84" t="s">
        <v>20</v>
      </c>
      <c r="H6" s="117" t="s">
        <v>333</v>
      </c>
    </row>
    <row r="7" spans="2:14" s="34" customFormat="1" ht="15.75" customHeight="1" x14ac:dyDescent="0.2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155">
        <v>7</v>
      </c>
    </row>
    <row r="8" spans="2:14" ht="15.75" x14ac:dyDescent="0.25">
      <c r="B8" s="87" t="s">
        <v>247</v>
      </c>
      <c r="C8" s="53" t="s">
        <v>562</v>
      </c>
      <c r="D8" s="89">
        <v>837197</v>
      </c>
      <c r="E8" s="90">
        <f>D8/D$16%</f>
        <v>11.398347533212851</v>
      </c>
      <c r="F8" s="141">
        <v>855632</v>
      </c>
      <c r="G8" s="90">
        <f>F8/F$16%</f>
        <v>11.426269929789024</v>
      </c>
      <c r="H8" s="91">
        <f>F8/D8*100</f>
        <v>102.2019906903632</v>
      </c>
      <c r="I8" s="14"/>
      <c r="J8" s="14"/>
      <c r="K8" s="25"/>
      <c r="L8" s="14"/>
      <c r="N8" s="14"/>
    </row>
    <row r="9" spans="2:14" ht="16.5" customHeight="1" x14ac:dyDescent="0.25">
      <c r="B9" s="87" t="s">
        <v>248</v>
      </c>
      <c r="C9" s="53" t="s">
        <v>563</v>
      </c>
      <c r="D9" s="89">
        <v>17571</v>
      </c>
      <c r="E9" s="90">
        <f t="shared" ref="E9:E15" si="0">D9/D$16%</f>
        <v>0.23922728402763388</v>
      </c>
      <c r="F9" s="141">
        <v>17711</v>
      </c>
      <c r="G9" s="90">
        <f t="shared" ref="G9:G15" si="1">F9/F$16%</f>
        <v>0.23651601006798884</v>
      </c>
      <c r="H9" s="91">
        <f t="shared" ref="H9:H15" si="2">F9/D9*100</f>
        <v>100.79676740083092</v>
      </c>
      <c r="I9" s="14"/>
      <c r="J9" s="14"/>
      <c r="K9" s="25"/>
      <c r="L9" s="14"/>
      <c r="N9" s="14"/>
    </row>
    <row r="10" spans="2:14" ht="16.5" customHeight="1" x14ac:dyDescent="0.25">
      <c r="B10" s="87" t="s">
        <v>351</v>
      </c>
      <c r="C10" s="53" t="s">
        <v>564</v>
      </c>
      <c r="D10" s="89">
        <v>5065</v>
      </c>
      <c r="E10" s="90">
        <f t="shared" si="0"/>
        <v>6.895943279266778E-2</v>
      </c>
      <c r="F10" s="141">
        <v>5179</v>
      </c>
      <c r="G10" s="90">
        <f t="shared" si="1"/>
        <v>6.91613356751236E-2</v>
      </c>
      <c r="H10" s="91">
        <f t="shared" si="2"/>
        <v>102.2507403751234</v>
      </c>
      <c r="I10" s="14"/>
      <c r="J10" s="14"/>
      <c r="K10" s="25"/>
      <c r="L10" s="14"/>
      <c r="N10" s="14"/>
    </row>
    <row r="11" spans="2:14" ht="15.75" x14ac:dyDescent="0.25">
      <c r="B11" s="87" t="s">
        <v>250</v>
      </c>
      <c r="C11" s="53" t="s">
        <v>565</v>
      </c>
      <c r="D11" s="89">
        <v>5658588</v>
      </c>
      <c r="E11" s="90">
        <f t="shared" si="0"/>
        <v>77.04106986917995</v>
      </c>
      <c r="F11" s="141">
        <v>5939294</v>
      </c>
      <c r="G11" s="90">
        <f t="shared" si="1"/>
        <v>79.314444102577241</v>
      </c>
      <c r="H11" s="91">
        <f t="shared" si="2"/>
        <v>104.96070751219209</v>
      </c>
      <c r="I11" s="14"/>
      <c r="J11" s="14"/>
      <c r="K11" s="25"/>
      <c r="L11" s="25"/>
      <c r="N11" s="14"/>
    </row>
    <row r="12" spans="2:14" ht="15.75" x14ac:dyDescent="0.25">
      <c r="B12" s="87" t="s">
        <v>251</v>
      </c>
      <c r="C12" s="53" t="s">
        <v>566</v>
      </c>
      <c r="D12" s="89">
        <v>291803</v>
      </c>
      <c r="E12" s="90">
        <f t="shared" si="0"/>
        <v>3.9728666075417252</v>
      </c>
      <c r="F12" s="141">
        <v>136109</v>
      </c>
      <c r="G12" s="90">
        <f t="shared" si="1"/>
        <v>1.8176250699759411</v>
      </c>
      <c r="H12" s="91">
        <f t="shared" si="2"/>
        <v>46.644140053392185</v>
      </c>
      <c r="I12" s="14"/>
      <c r="J12" s="14"/>
      <c r="K12" s="25"/>
      <c r="L12" s="14"/>
      <c r="N12" s="14"/>
    </row>
    <row r="13" spans="2:14" ht="15.75" x14ac:dyDescent="0.25">
      <c r="B13" s="87" t="s">
        <v>252</v>
      </c>
      <c r="C13" s="53" t="s">
        <v>567</v>
      </c>
      <c r="D13" s="89">
        <v>263670</v>
      </c>
      <c r="E13" s="90">
        <f t="shared" si="0"/>
        <v>3.5898388241742776</v>
      </c>
      <c r="F13" s="141">
        <v>271473</v>
      </c>
      <c r="G13" s="90">
        <f t="shared" si="1"/>
        <v>3.6253012704639564</v>
      </c>
      <c r="H13" s="91">
        <f t="shared" si="2"/>
        <v>102.95938104448743</v>
      </c>
      <c r="I13" s="14"/>
      <c r="J13" s="14"/>
      <c r="K13" s="25"/>
      <c r="L13" s="14"/>
      <c r="N13" s="14"/>
    </row>
    <row r="14" spans="2:14" ht="31.5" x14ac:dyDescent="0.25">
      <c r="B14" s="87" t="s">
        <v>253</v>
      </c>
      <c r="C14" s="53" t="s">
        <v>568</v>
      </c>
      <c r="D14" s="89">
        <v>223359</v>
      </c>
      <c r="E14" s="90">
        <f t="shared" si="0"/>
        <v>3.0410088744595232</v>
      </c>
      <c r="F14" s="200">
        <v>213812</v>
      </c>
      <c r="G14" s="90">
        <f t="shared" si="1"/>
        <v>2.8552854804729733</v>
      </c>
      <c r="H14" s="91">
        <f t="shared" si="2"/>
        <v>95.725715104383525</v>
      </c>
      <c r="I14" s="14"/>
      <c r="J14" s="14"/>
      <c r="K14" s="25"/>
      <c r="L14" s="14"/>
      <c r="N14" s="14"/>
    </row>
    <row r="15" spans="2:14" ht="15.75" x14ac:dyDescent="0.25">
      <c r="B15" s="87" t="s">
        <v>254</v>
      </c>
      <c r="C15" s="53" t="s">
        <v>569</v>
      </c>
      <c r="D15" s="89">
        <v>47645</v>
      </c>
      <c r="E15" s="90">
        <f t="shared" si="0"/>
        <v>0.64868157461138332</v>
      </c>
      <c r="F15" s="141">
        <v>49078</v>
      </c>
      <c r="G15" s="90">
        <f t="shared" si="1"/>
        <v>0.65539680097774011</v>
      </c>
      <c r="H15" s="91">
        <f t="shared" si="2"/>
        <v>103.00766082485046</v>
      </c>
      <c r="I15" s="14"/>
      <c r="J15" s="14"/>
      <c r="K15" s="25"/>
      <c r="L15" s="14"/>
      <c r="N15" s="14"/>
    </row>
    <row r="16" spans="2:14" ht="15.75" x14ac:dyDescent="0.25">
      <c r="B16" s="450" t="s">
        <v>18</v>
      </c>
      <c r="C16" s="450"/>
      <c r="D16" s="92">
        <f t="shared" ref="D16:G16" si="3">SUM(D8:D15)</f>
        <v>7344898</v>
      </c>
      <c r="E16" s="93">
        <f>SUM(E8:E15)</f>
        <v>100.00000000000001</v>
      </c>
      <c r="F16" s="92">
        <f t="shared" si="3"/>
        <v>7488288</v>
      </c>
      <c r="G16" s="93">
        <f t="shared" si="3"/>
        <v>99.999999999999986</v>
      </c>
      <c r="H16" s="93">
        <f>F16/D16*100</f>
        <v>101.95223950012648</v>
      </c>
      <c r="I16" s="14"/>
      <c r="J16" s="14"/>
      <c r="K16" s="25"/>
      <c r="L16" s="25"/>
      <c r="N16" s="14"/>
    </row>
    <row r="17" spans="4:11" x14ac:dyDescent="0.25">
      <c r="J17" s="14"/>
      <c r="K17" s="14"/>
    </row>
    <row r="18" spans="4:11" x14ac:dyDescent="0.25">
      <c r="D18" s="14"/>
      <c r="F18" s="14"/>
      <c r="G18" s="14"/>
      <c r="J18" s="25"/>
    </row>
    <row r="20" spans="4:11" x14ac:dyDescent="0.25">
      <c r="F20" s="14"/>
      <c r="G20" s="14"/>
    </row>
    <row r="21" spans="4:11" x14ac:dyDescent="0.25">
      <c r="F21" s="25"/>
    </row>
  </sheetData>
  <mergeCells count="6">
    <mergeCell ref="B16:C16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D16 F16" formulaRange="1"/>
  </ignoredError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I21"/>
  <sheetViews>
    <sheetView workbookViewId="0"/>
  </sheetViews>
  <sheetFormatPr defaultRowHeight="15" x14ac:dyDescent="0.25"/>
  <cols>
    <col min="2" max="2" width="7.7109375" customWidth="1"/>
    <col min="3" max="3" width="65.28515625" customWidth="1"/>
    <col min="4" max="4" width="17.5703125" customWidth="1"/>
    <col min="5" max="5" width="18.140625" customWidth="1"/>
    <col min="7" max="8" width="10.140625" bestFit="1" customWidth="1"/>
  </cols>
  <sheetData>
    <row r="2" spans="2:9" ht="15.75" x14ac:dyDescent="0.25">
      <c r="C2" s="9"/>
      <c r="D2" s="4"/>
      <c r="E2" s="10"/>
    </row>
    <row r="3" spans="2:9" ht="16.5" thickBot="1" x14ac:dyDescent="0.3">
      <c r="B3" s="47"/>
      <c r="C3" s="47"/>
      <c r="D3" s="47"/>
      <c r="E3" s="78" t="s">
        <v>442</v>
      </c>
    </row>
    <row r="4" spans="2:9" ht="24.95" customHeight="1" thickTop="1" x14ac:dyDescent="0.25">
      <c r="B4" s="454" t="s">
        <v>1327</v>
      </c>
      <c r="C4" s="454"/>
      <c r="D4" s="454"/>
      <c r="E4" s="454"/>
    </row>
    <row r="5" spans="2:9" ht="20.100000000000001" customHeight="1" x14ac:dyDescent="0.25">
      <c r="B5" s="118" t="s">
        <v>100</v>
      </c>
      <c r="C5" s="84" t="s">
        <v>56</v>
      </c>
      <c r="D5" s="84" t="s">
        <v>606</v>
      </c>
      <c r="E5" s="84" t="s">
        <v>607</v>
      </c>
    </row>
    <row r="6" spans="2:9" s="33" customFormat="1" ht="15.75" customHeight="1" x14ac:dyDescent="0.2">
      <c r="B6" s="85">
        <v>1</v>
      </c>
      <c r="C6" s="86">
        <v>2</v>
      </c>
      <c r="D6" s="155">
        <v>3</v>
      </c>
      <c r="E6" s="86">
        <v>4</v>
      </c>
    </row>
    <row r="7" spans="2:9" ht="15.75" x14ac:dyDescent="0.25">
      <c r="B7" s="52" t="s">
        <v>247</v>
      </c>
      <c r="C7" s="53" t="s">
        <v>445</v>
      </c>
      <c r="D7" s="58">
        <v>1.6621746563625379</v>
      </c>
      <c r="E7" s="58">
        <v>1.6306621301998063</v>
      </c>
      <c r="G7" s="14"/>
      <c r="H7" s="26"/>
      <c r="I7" s="26"/>
    </row>
    <row r="8" spans="2:9" ht="15.75" x14ac:dyDescent="0.25">
      <c r="B8" s="52" t="s">
        <v>248</v>
      </c>
      <c r="C8" s="53" t="s">
        <v>446</v>
      </c>
      <c r="D8" s="58">
        <v>83.411998608597969</v>
      </c>
      <c r="E8" s="58">
        <v>83.470887745851428</v>
      </c>
      <c r="G8" s="14"/>
      <c r="H8" s="26"/>
      <c r="I8" s="26"/>
    </row>
    <row r="9" spans="2:9" ht="15.75" x14ac:dyDescent="0.25">
      <c r="B9" s="52" t="s">
        <v>249</v>
      </c>
      <c r="C9" s="53" t="s">
        <v>444</v>
      </c>
      <c r="D9" s="58">
        <v>2.5887001849672102</v>
      </c>
      <c r="E9" s="58">
        <v>2.5814079285519718</v>
      </c>
      <c r="G9" s="14"/>
      <c r="H9" s="26"/>
      <c r="I9" s="26"/>
    </row>
    <row r="10" spans="2:9" ht="15.75" x14ac:dyDescent="0.25">
      <c r="B10" s="52" t="s">
        <v>250</v>
      </c>
      <c r="C10" s="159" t="s">
        <v>425</v>
      </c>
      <c r="D10" s="58">
        <v>2.9520643718195911</v>
      </c>
      <c r="E10" s="58">
        <v>2.810132499623883</v>
      </c>
      <c r="G10" s="14"/>
      <c r="H10" s="26"/>
      <c r="I10" s="26"/>
    </row>
    <row r="11" spans="2:9" ht="15.75" x14ac:dyDescent="0.25">
      <c r="B11" s="52" t="s">
        <v>251</v>
      </c>
      <c r="C11" s="53" t="s">
        <v>447</v>
      </c>
      <c r="D11" s="58">
        <v>84.172666974071575</v>
      </c>
      <c r="E11" s="58">
        <v>83.818616010267021</v>
      </c>
      <c r="G11" s="14"/>
      <c r="H11" s="26"/>
      <c r="I11" s="26"/>
    </row>
    <row r="12" spans="2:9" ht="15.75" x14ac:dyDescent="0.25">
      <c r="B12" s="52" t="s">
        <v>252</v>
      </c>
      <c r="C12" s="53" t="s">
        <v>426</v>
      </c>
      <c r="D12" s="58">
        <v>4.3596691442939912</v>
      </c>
      <c r="E12" s="58">
        <v>4.2027384547367941</v>
      </c>
      <c r="G12" s="14"/>
      <c r="H12" s="26"/>
      <c r="I12" s="26"/>
    </row>
    <row r="13" spans="2:9" ht="15.75" x14ac:dyDescent="0.25">
      <c r="B13" s="52" t="s">
        <v>253</v>
      </c>
      <c r="C13" s="53" t="s">
        <v>427</v>
      </c>
      <c r="D13" s="58">
        <v>0.17124432199888298</v>
      </c>
      <c r="E13" s="58">
        <v>2.4185027463888814E-2</v>
      </c>
      <c r="G13" s="23"/>
      <c r="H13" s="26"/>
      <c r="I13" s="26"/>
    </row>
    <row r="14" spans="2:9" ht="15.75" x14ac:dyDescent="0.25">
      <c r="B14" s="52" t="s">
        <v>254</v>
      </c>
      <c r="C14" s="53" t="s">
        <v>559</v>
      </c>
      <c r="D14" s="58">
        <v>12.267942454645894</v>
      </c>
      <c r="E14" s="58">
        <v>11.785286702195098</v>
      </c>
      <c r="G14" s="23"/>
      <c r="H14" s="26"/>
      <c r="I14" s="26"/>
    </row>
    <row r="15" spans="2:9" ht="15.75" x14ac:dyDescent="0.25">
      <c r="B15" s="52" t="s">
        <v>255</v>
      </c>
      <c r="C15" s="53" t="s">
        <v>561</v>
      </c>
      <c r="D15" s="58">
        <v>2.1653229993720817</v>
      </c>
      <c r="E15" s="58">
        <v>2.1160516703155339</v>
      </c>
      <c r="G15" s="23"/>
      <c r="H15" s="26"/>
      <c r="I15" s="26"/>
    </row>
    <row r="16" spans="2:9" ht="15.75" x14ac:dyDescent="0.25">
      <c r="B16" s="52" t="s">
        <v>256</v>
      </c>
      <c r="C16" s="53" t="s">
        <v>428</v>
      </c>
      <c r="D16" s="58">
        <v>2.1761488109336429</v>
      </c>
      <c r="E16" s="58">
        <v>2.1918300031316855</v>
      </c>
      <c r="H16" s="26"/>
      <c r="I16" s="26"/>
    </row>
    <row r="18" spans="2:2" x14ac:dyDescent="0.25">
      <c r="B18" s="165" t="s">
        <v>429</v>
      </c>
    </row>
    <row r="21" spans="2:2" ht="16.5" customHeight="1" x14ac:dyDescent="0.25"/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1EAB-F986-45C7-9404-9818D6FEE0A5}">
  <dimension ref="B3:H72"/>
  <sheetViews>
    <sheetView workbookViewId="0">
      <selection activeCell="O15" sqref="O15"/>
    </sheetView>
  </sheetViews>
  <sheetFormatPr defaultRowHeight="15" x14ac:dyDescent="0.25"/>
  <cols>
    <col min="2" max="2" width="8" customWidth="1"/>
    <col min="3" max="3" width="84.7109375" customWidth="1"/>
    <col min="4" max="4" width="19.85546875" customWidth="1"/>
    <col min="5" max="5" width="12.140625" customWidth="1"/>
    <col min="6" max="6" width="18.42578125" style="14" customWidth="1"/>
    <col min="7" max="7" width="14.42578125" customWidth="1"/>
    <col min="8" max="8" width="10.28515625" style="422" customWidth="1"/>
  </cols>
  <sheetData>
    <row r="3" spans="2:8" ht="16.5" thickBot="1" x14ac:dyDescent="0.3">
      <c r="B3" s="262"/>
      <c r="C3" s="262"/>
      <c r="D3" s="262"/>
      <c r="E3" s="262"/>
      <c r="F3" s="415"/>
      <c r="G3" s="262"/>
      <c r="H3" s="418" t="s">
        <v>737</v>
      </c>
    </row>
    <row r="4" spans="2:8" ht="16.5" thickTop="1" x14ac:dyDescent="0.25">
      <c r="B4" s="452" t="s">
        <v>1328</v>
      </c>
      <c r="C4" s="452"/>
      <c r="D4" s="452"/>
      <c r="E4" s="452"/>
      <c r="F4" s="452"/>
      <c r="G4" s="452"/>
      <c r="H4" s="452"/>
    </row>
    <row r="5" spans="2:8" ht="15.75" x14ac:dyDescent="0.25">
      <c r="B5" s="443" t="s">
        <v>100</v>
      </c>
      <c r="C5" s="50"/>
      <c r="D5" s="448" t="s">
        <v>774</v>
      </c>
      <c r="E5" s="448"/>
      <c r="F5" s="448" t="s">
        <v>609</v>
      </c>
      <c r="G5" s="448"/>
      <c r="H5" s="185" t="s">
        <v>1</v>
      </c>
    </row>
    <row r="6" spans="2:8" ht="15.75" x14ac:dyDescent="0.25">
      <c r="B6" s="443"/>
      <c r="C6" s="50" t="s">
        <v>56</v>
      </c>
      <c r="D6" s="50" t="s">
        <v>2</v>
      </c>
      <c r="E6" s="50" t="s">
        <v>32</v>
      </c>
      <c r="F6" s="59" t="s">
        <v>2</v>
      </c>
      <c r="G6" s="50" t="s">
        <v>32</v>
      </c>
      <c r="H6" s="185" t="s">
        <v>333</v>
      </c>
    </row>
    <row r="7" spans="2:8" x14ac:dyDescent="0.25">
      <c r="B7" s="48">
        <v>1</v>
      </c>
      <c r="C7" s="48">
        <v>2</v>
      </c>
      <c r="D7" s="48">
        <v>3</v>
      </c>
      <c r="E7" s="48">
        <v>4</v>
      </c>
      <c r="F7" s="416">
        <v>5</v>
      </c>
      <c r="G7" s="48">
        <v>6</v>
      </c>
      <c r="H7" s="419">
        <v>7</v>
      </c>
    </row>
    <row r="8" spans="2:8" ht="15.75" x14ac:dyDescent="0.25">
      <c r="B8" s="314"/>
      <c r="C8" s="140" t="s">
        <v>840</v>
      </c>
      <c r="D8" s="314"/>
      <c r="E8" s="314"/>
      <c r="F8" s="417"/>
      <c r="G8" s="314"/>
      <c r="H8" s="420"/>
    </row>
    <row r="9" spans="2:8" ht="15.75" x14ac:dyDescent="0.25">
      <c r="B9" s="87" t="s">
        <v>247</v>
      </c>
      <c r="C9" s="53" t="s">
        <v>752</v>
      </c>
      <c r="D9" s="176">
        <f>D10+D11+D12</f>
        <v>247453</v>
      </c>
      <c r="E9" s="269">
        <f>D9/D$50%</f>
        <v>73.127002139555771</v>
      </c>
      <c r="F9" s="176">
        <f>F10+F11+F12</f>
        <v>262796</v>
      </c>
      <c r="G9" s="269">
        <f>F9/F$50%</f>
        <v>77.81590986482685</v>
      </c>
      <c r="H9" s="421">
        <f>F9/D9*100</f>
        <v>106.20036936307096</v>
      </c>
    </row>
    <row r="10" spans="2:8" ht="31.5" x14ac:dyDescent="0.25">
      <c r="B10" s="87" t="s">
        <v>58</v>
      </c>
      <c r="C10" s="329" t="s">
        <v>776</v>
      </c>
      <c r="D10" s="176">
        <v>239360</v>
      </c>
      <c r="E10" s="269">
        <f t="shared" ref="E10:E49" si="0">D10/D$50%</f>
        <v>70.735368866508267</v>
      </c>
      <c r="F10" s="176">
        <v>254951</v>
      </c>
      <c r="G10" s="269">
        <f t="shared" ref="G10:G49" si="1">F10/F$50%</f>
        <v>75.492945234887401</v>
      </c>
      <c r="H10" s="421">
        <f t="shared" ref="H10:H54" si="2">F10/D10*100</f>
        <v>106.51361965240642</v>
      </c>
    </row>
    <row r="11" spans="2:8" ht="31.5" x14ac:dyDescent="0.25">
      <c r="B11" s="87" t="s">
        <v>88</v>
      </c>
      <c r="C11" s="329" t="s">
        <v>775</v>
      </c>
      <c r="D11" s="176">
        <v>6246</v>
      </c>
      <c r="E11" s="269">
        <f t="shared" si="0"/>
        <v>1.8458101351111742</v>
      </c>
      <c r="F11" s="176">
        <v>7171</v>
      </c>
      <c r="G11" s="269">
        <f t="shared" si="1"/>
        <v>2.123388063900034</v>
      </c>
      <c r="H11" s="421">
        <f t="shared" si="2"/>
        <v>114.80947806596222</v>
      </c>
    </row>
    <row r="12" spans="2:8" ht="31.5" x14ac:dyDescent="0.25">
      <c r="B12" s="87" t="s">
        <v>274</v>
      </c>
      <c r="C12" s="329" t="s">
        <v>777</v>
      </c>
      <c r="D12" s="176">
        <v>1847</v>
      </c>
      <c r="E12" s="269">
        <f t="shared" si="0"/>
        <v>0.54582313793633341</v>
      </c>
      <c r="F12" s="176">
        <v>674</v>
      </c>
      <c r="G12" s="269">
        <f t="shared" si="1"/>
        <v>0.19957656603941193</v>
      </c>
      <c r="H12" s="421">
        <f t="shared" si="2"/>
        <v>36.491608012994043</v>
      </c>
    </row>
    <row r="13" spans="2:8" ht="15.75" x14ac:dyDescent="0.25">
      <c r="B13" s="87" t="s">
        <v>248</v>
      </c>
      <c r="C13" s="53" t="s">
        <v>753</v>
      </c>
      <c r="D13" s="176">
        <f>D14+D15</f>
        <v>27541</v>
      </c>
      <c r="E13" s="269">
        <f t="shared" si="0"/>
        <v>8.1388819934513048</v>
      </c>
      <c r="F13" s="176">
        <f>F14+F15</f>
        <v>41698</v>
      </c>
      <c r="G13" s="269">
        <f t="shared" si="1"/>
        <v>12.347097404616319</v>
      </c>
      <c r="H13" s="421">
        <f t="shared" si="2"/>
        <v>151.40336225990342</v>
      </c>
    </row>
    <row r="14" spans="2:8" ht="31.5" x14ac:dyDescent="0.25">
      <c r="B14" s="87" t="s">
        <v>277</v>
      </c>
      <c r="C14" s="53" t="s">
        <v>778</v>
      </c>
      <c r="D14" s="176">
        <v>27237</v>
      </c>
      <c r="E14" s="269">
        <f t="shared" si="0"/>
        <v>8.0490442923507928</v>
      </c>
      <c r="F14" s="176">
        <v>41414</v>
      </c>
      <c r="G14" s="269">
        <f t="shared" si="1"/>
        <v>12.263002827828197</v>
      </c>
      <c r="H14" s="421">
        <f t="shared" si="2"/>
        <v>152.05051951389655</v>
      </c>
    </row>
    <row r="15" spans="2:8" ht="31.5" x14ac:dyDescent="0.25">
      <c r="B15" s="87" t="s">
        <v>278</v>
      </c>
      <c r="C15" s="53" t="s">
        <v>779</v>
      </c>
      <c r="D15" s="176">
        <v>304</v>
      </c>
      <c r="E15" s="269">
        <f t="shared" si="0"/>
        <v>8.9837701100511841E-2</v>
      </c>
      <c r="F15" s="176">
        <v>284</v>
      </c>
      <c r="G15" s="269">
        <f t="shared" si="1"/>
        <v>8.4094576788120157E-2</v>
      </c>
      <c r="H15" s="421">
        <f t="shared" si="2"/>
        <v>93.421052631578945</v>
      </c>
    </row>
    <row r="16" spans="2:8" ht="15.75" x14ac:dyDescent="0.25">
      <c r="B16" s="87" t="s">
        <v>249</v>
      </c>
      <c r="C16" s="53" t="s">
        <v>754</v>
      </c>
      <c r="D16" s="176">
        <f>D9-D13</f>
        <v>219912</v>
      </c>
      <c r="E16" s="269">
        <f t="shared" si="0"/>
        <v>64.988120146104464</v>
      </c>
      <c r="F16" s="176">
        <f>F9-F13</f>
        <v>221098</v>
      </c>
      <c r="G16" s="269">
        <f t="shared" si="1"/>
        <v>65.468812460210529</v>
      </c>
      <c r="H16" s="421">
        <f t="shared" si="2"/>
        <v>100.5393066317436</v>
      </c>
    </row>
    <row r="17" spans="2:8" ht="15.75" x14ac:dyDescent="0.25">
      <c r="B17" s="87" t="s">
        <v>250</v>
      </c>
      <c r="C17" s="53" t="s">
        <v>755</v>
      </c>
      <c r="D17" s="176">
        <v>127596</v>
      </c>
      <c r="E17" s="269">
        <f t="shared" si="0"/>
        <v>37.707010886910879</v>
      </c>
      <c r="F17" s="176">
        <v>140407</v>
      </c>
      <c r="G17" s="269">
        <f t="shared" si="1"/>
        <v>41.575588884118261</v>
      </c>
      <c r="H17" s="421">
        <f t="shared" si="2"/>
        <v>110.04028339446377</v>
      </c>
    </row>
    <row r="18" spans="2:8" ht="15.75" x14ac:dyDescent="0.25">
      <c r="B18" s="87" t="s">
        <v>251</v>
      </c>
      <c r="C18" s="53" t="s">
        <v>780</v>
      </c>
      <c r="D18" s="176">
        <v>27651</v>
      </c>
      <c r="E18" s="269">
        <f t="shared" si="0"/>
        <v>8.1713890563495148</v>
      </c>
      <c r="F18" s="176">
        <v>38811</v>
      </c>
      <c r="G18" s="269">
        <f t="shared" si="1"/>
        <v>11.492234576492011</v>
      </c>
      <c r="H18" s="421">
        <f t="shared" si="2"/>
        <v>140.36020397092329</v>
      </c>
    </row>
    <row r="19" spans="2:8" ht="15.75" x14ac:dyDescent="0.25">
      <c r="B19" s="87" t="s">
        <v>252</v>
      </c>
      <c r="C19" s="53" t="s">
        <v>756</v>
      </c>
      <c r="D19" s="176">
        <f>D17-D18</f>
        <v>99945</v>
      </c>
      <c r="E19" s="269">
        <f t="shared" si="0"/>
        <v>29.535621830561368</v>
      </c>
      <c r="F19" s="176">
        <f>F17-F18</f>
        <v>101596</v>
      </c>
      <c r="G19" s="269">
        <f t="shared" si="1"/>
        <v>30.083354307626252</v>
      </c>
      <c r="H19" s="421">
        <f t="shared" si="2"/>
        <v>101.65190854970234</v>
      </c>
    </row>
    <row r="20" spans="2:8" ht="15.75" x14ac:dyDescent="0.25">
      <c r="B20" s="87" t="s">
        <v>253</v>
      </c>
      <c r="C20" s="53" t="s">
        <v>781</v>
      </c>
      <c r="D20" s="176">
        <f>D21+D22+D23+D24+D25</f>
        <v>-1802</v>
      </c>
      <c r="E20" s="269">
        <f t="shared" si="0"/>
        <v>-0.53252479402342867</v>
      </c>
      <c r="F20" s="176">
        <f>F21+F22+F23+F24+F25</f>
        <v>-11117</v>
      </c>
      <c r="G20" s="269">
        <f t="shared" si="1"/>
        <v>-3.2918289089913091</v>
      </c>
      <c r="H20" s="421">
        <f t="shared" si="2"/>
        <v>616.92563817980022</v>
      </c>
    </row>
    <row r="21" spans="2:8" ht="31.5" x14ac:dyDescent="0.25">
      <c r="B21" s="87" t="s">
        <v>782</v>
      </c>
      <c r="C21" s="53" t="s">
        <v>796</v>
      </c>
      <c r="D21" s="176">
        <v>-4665</v>
      </c>
      <c r="E21" s="269">
        <f t="shared" si="0"/>
        <v>-1.3785949856377886</v>
      </c>
      <c r="F21" s="176">
        <v>-9563</v>
      </c>
      <c r="G21" s="269">
        <f t="shared" si="1"/>
        <v>-2.8316775979746236</v>
      </c>
      <c r="H21" s="421">
        <f t="shared" si="2"/>
        <v>204.99464094319401</v>
      </c>
    </row>
    <row r="22" spans="2:8" ht="31.5" x14ac:dyDescent="0.25">
      <c r="B22" s="87" t="s">
        <v>783</v>
      </c>
      <c r="C22" s="53" t="s">
        <v>797</v>
      </c>
      <c r="D22" s="176">
        <v>484</v>
      </c>
      <c r="E22" s="269">
        <f t="shared" si="0"/>
        <v>0.1430310767521307</v>
      </c>
      <c r="F22" s="176">
        <v>-842</v>
      </c>
      <c r="G22" s="269">
        <f t="shared" si="1"/>
        <v>-0.24932265371689147</v>
      </c>
      <c r="H22" s="421">
        <f t="shared" si="2"/>
        <v>-173.96694214876035</v>
      </c>
    </row>
    <row r="23" spans="2:8" ht="31.5" x14ac:dyDescent="0.25">
      <c r="B23" s="87" t="s">
        <v>784</v>
      </c>
      <c r="C23" s="53" t="s">
        <v>798</v>
      </c>
      <c r="D23" s="176">
        <v>2922</v>
      </c>
      <c r="E23" s="269">
        <f t="shared" si="0"/>
        <v>0.86350579807794603</v>
      </c>
      <c r="F23" s="176">
        <v>1055</v>
      </c>
      <c r="G23" s="269">
        <f t="shared" si="1"/>
        <v>0.31239358630798159</v>
      </c>
      <c r="H23" s="421">
        <f t="shared" si="2"/>
        <v>36.105407255304584</v>
      </c>
    </row>
    <row r="24" spans="2:8" ht="15.75" x14ac:dyDescent="0.25">
      <c r="B24" s="87" t="s">
        <v>785</v>
      </c>
      <c r="C24" s="53" t="s">
        <v>799</v>
      </c>
      <c r="D24" s="176">
        <v>-866</v>
      </c>
      <c r="E24" s="269">
        <f t="shared" si="0"/>
        <v>-0.2559192406350107</v>
      </c>
      <c r="F24" s="176">
        <v>179</v>
      </c>
      <c r="G24" s="269">
        <f t="shared" si="1"/>
        <v>5.3003271989695455E-2</v>
      </c>
      <c r="H24" s="421">
        <f t="shared" si="2"/>
        <v>-20.669745958429562</v>
      </c>
    </row>
    <row r="25" spans="2:8" ht="15.75" x14ac:dyDescent="0.25">
      <c r="B25" s="87" t="s">
        <v>795</v>
      </c>
      <c r="C25" s="53" t="s">
        <v>800</v>
      </c>
      <c r="D25" s="176">
        <v>323</v>
      </c>
      <c r="E25" s="269">
        <f t="shared" si="0"/>
        <v>9.5452557419293829E-2</v>
      </c>
      <c r="F25" s="176">
        <v>-1946</v>
      </c>
      <c r="G25" s="269">
        <f t="shared" si="1"/>
        <v>-0.57622551559747126</v>
      </c>
      <c r="H25" s="421">
        <f t="shared" si="2"/>
        <v>-602.47678018575857</v>
      </c>
    </row>
    <row r="26" spans="2:8" ht="15.75" x14ac:dyDescent="0.25">
      <c r="B26" s="87" t="s">
        <v>254</v>
      </c>
      <c r="C26" s="53" t="s">
        <v>548</v>
      </c>
      <c r="D26" s="176">
        <f>D27+D28+D29+D30+D31+D32+D33+D34</f>
        <v>2211</v>
      </c>
      <c r="E26" s="269">
        <f t="shared" si="0"/>
        <v>0.65339196425405155</v>
      </c>
      <c r="F26" s="176">
        <f>F27+F28+F29+F30+F31+F32+F33+F34</f>
        <v>8009</v>
      </c>
      <c r="G26" s="269">
        <f t="shared" si="1"/>
        <v>2.3715262869579377</v>
      </c>
      <c r="H26" s="421">
        <f t="shared" si="2"/>
        <v>362.23428312980548</v>
      </c>
    </row>
    <row r="27" spans="2:8" ht="31.5" x14ac:dyDescent="0.25">
      <c r="B27" s="87" t="s">
        <v>786</v>
      </c>
      <c r="C27" s="53" t="s">
        <v>802</v>
      </c>
      <c r="D27" s="176">
        <v>0</v>
      </c>
      <c r="E27" s="269">
        <f t="shared" si="0"/>
        <v>0</v>
      </c>
      <c r="F27" s="176">
        <v>0</v>
      </c>
      <c r="G27" s="269">
        <f t="shared" si="1"/>
        <v>0</v>
      </c>
      <c r="H27" s="421" t="s">
        <v>80</v>
      </c>
    </row>
    <row r="28" spans="2:8" ht="31.5" x14ac:dyDescent="0.25">
      <c r="B28" s="87" t="s">
        <v>787</v>
      </c>
      <c r="C28" s="53" t="s">
        <v>804</v>
      </c>
      <c r="D28" s="176">
        <v>76</v>
      </c>
      <c r="E28" s="269">
        <f t="shared" si="0"/>
        <v>2.245942527512796E-2</v>
      </c>
      <c r="F28" s="176">
        <v>195</v>
      </c>
      <c r="G28" s="269">
        <f t="shared" si="1"/>
        <v>5.7740994625645886E-2</v>
      </c>
      <c r="H28" s="421">
        <f t="shared" si="2"/>
        <v>256.57894736842104</v>
      </c>
    </row>
    <row r="29" spans="2:8" ht="15.75" x14ac:dyDescent="0.25">
      <c r="B29" s="87" t="s">
        <v>788</v>
      </c>
      <c r="C29" s="53" t="s">
        <v>805</v>
      </c>
      <c r="D29" s="176">
        <v>0</v>
      </c>
      <c r="E29" s="269">
        <f t="shared" si="0"/>
        <v>0</v>
      </c>
      <c r="F29" s="176">
        <v>0</v>
      </c>
      <c r="G29" s="269">
        <f t="shared" si="1"/>
        <v>0</v>
      </c>
      <c r="H29" s="421" t="s">
        <v>80</v>
      </c>
    </row>
    <row r="30" spans="2:8" ht="31.5" x14ac:dyDescent="0.25">
      <c r="B30" s="87" t="s">
        <v>789</v>
      </c>
      <c r="C30" s="53" t="s">
        <v>803</v>
      </c>
      <c r="D30" s="176">
        <v>23</v>
      </c>
      <c r="E30" s="269">
        <f t="shared" si="0"/>
        <v>6.796931333262409E-3</v>
      </c>
      <c r="F30" s="176">
        <v>369</v>
      </c>
      <c r="G30" s="269">
        <f t="shared" si="1"/>
        <v>0.10926372829160683</v>
      </c>
      <c r="H30" s="421">
        <f t="shared" si="2"/>
        <v>1604.3478260869567</v>
      </c>
    </row>
    <row r="31" spans="2:8" ht="31.5" x14ac:dyDescent="0.25">
      <c r="B31" s="87" t="s">
        <v>790</v>
      </c>
      <c r="C31" s="53" t="s">
        <v>806</v>
      </c>
      <c r="D31" s="176">
        <v>2053</v>
      </c>
      <c r="E31" s="269">
        <f t="shared" si="0"/>
        <v>0.60670000118207501</v>
      </c>
      <c r="F31" s="176">
        <v>7317</v>
      </c>
      <c r="G31" s="269">
        <f t="shared" si="1"/>
        <v>2.1666197829530818</v>
      </c>
      <c r="H31" s="421">
        <f t="shared" si="2"/>
        <v>356.4052605942523</v>
      </c>
    </row>
    <row r="32" spans="2:8" ht="31.5" x14ac:dyDescent="0.25">
      <c r="B32" s="87" t="s">
        <v>791</v>
      </c>
      <c r="C32" s="53" t="s">
        <v>807</v>
      </c>
      <c r="D32" s="176">
        <v>0</v>
      </c>
      <c r="E32" s="269">
        <f t="shared" si="0"/>
        <v>0</v>
      </c>
      <c r="F32" s="176">
        <v>128</v>
      </c>
      <c r="G32" s="269">
        <f t="shared" si="1"/>
        <v>3.7901781087603455E-2</v>
      </c>
      <c r="H32" s="421" t="s">
        <v>80</v>
      </c>
    </row>
    <row r="33" spans="2:8" ht="15.75" x14ac:dyDescent="0.25">
      <c r="B33" s="87" t="s">
        <v>792</v>
      </c>
      <c r="C33" s="53" t="s">
        <v>808</v>
      </c>
      <c r="D33" s="176">
        <v>0</v>
      </c>
      <c r="E33" s="269">
        <f t="shared" si="0"/>
        <v>0</v>
      </c>
      <c r="F33" s="176">
        <v>0</v>
      </c>
      <c r="G33" s="269">
        <f t="shared" si="1"/>
        <v>0</v>
      </c>
      <c r="H33" s="421" t="s">
        <v>80</v>
      </c>
    </row>
    <row r="34" spans="2:8" ht="15.75" x14ac:dyDescent="0.25">
      <c r="B34" s="87" t="s">
        <v>793</v>
      </c>
      <c r="C34" s="53" t="s">
        <v>809</v>
      </c>
      <c r="D34" s="176">
        <v>59</v>
      </c>
      <c r="E34" s="269">
        <f t="shared" si="0"/>
        <v>1.7435606463586179E-2</v>
      </c>
      <c r="F34" s="176">
        <v>0</v>
      </c>
      <c r="G34" s="269">
        <f t="shared" si="1"/>
        <v>0</v>
      </c>
      <c r="H34" s="421">
        <f t="shared" si="2"/>
        <v>0</v>
      </c>
    </row>
    <row r="35" spans="2:8" ht="15.75" x14ac:dyDescent="0.25">
      <c r="B35" s="87" t="s">
        <v>255</v>
      </c>
      <c r="C35" s="53" t="s">
        <v>757</v>
      </c>
      <c r="D35" s="176">
        <v>-102</v>
      </c>
      <c r="E35" s="269">
        <f t="shared" si="0"/>
        <v>-3.0142912869250683E-2</v>
      </c>
      <c r="F35" s="176">
        <v>55</v>
      </c>
      <c r="G35" s="269">
        <f t="shared" si="1"/>
        <v>1.6285921561079608E-2</v>
      </c>
      <c r="H35" s="421">
        <f t="shared" si="2"/>
        <v>-53.921568627450981</v>
      </c>
    </row>
    <row r="36" spans="2:8" ht="15.75" x14ac:dyDescent="0.25">
      <c r="B36" s="87" t="s">
        <v>256</v>
      </c>
      <c r="C36" s="53" t="s">
        <v>571</v>
      </c>
      <c r="D36" s="176">
        <v>13101</v>
      </c>
      <c r="E36" s="269">
        <f t="shared" si="0"/>
        <v>3.871591191176992</v>
      </c>
      <c r="F36" s="176">
        <v>7217</v>
      </c>
      <c r="G36" s="269">
        <f t="shared" si="1"/>
        <v>2.1370090164783915</v>
      </c>
      <c r="H36" s="421">
        <f t="shared" si="2"/>
        <v>55.087397908556603</v>
      </c>
    </row>
    <row r="37" spans="2:8" ht="15.75" x14ac:dyDescent="0.25">
      <c r="B37" s="87" t="s">
        <v>257</v>
      </c>
      <c r="C37" s="53" t="s">
        <v>550</v>
      </c>
      <c r="D37" s="176">
        <f>D38+D39+D40+D41+D42+D43+D44+D45+D46+D47+D48</f>
        <v>3502</v>
      </c>
      <c r="E37" s="269">
        <f t="shared" si="0"/>
        <v>1.0349066751776068</v>
      </c>
      <c r="F37" s="176">
        <f>F38+F39+F40+F41+F42+F43+F44+F45+F46+F47+F48</f>
        <v>414</v>
      </c>
      <c r="G37" s="269">
        <f t="shared" si="1"/>
        <v>0.12258857320521742</v>
      </c>
      <c r="H37" s="421">
        <f t="shared" si="2"/>
        <v>11.82181610508281</v>
      </c>
    </row>
    <row r="38" spans="2:8" ht="15.75" x14ac:dyDescent="0.25">
      <c r="B38" s="87" t="s">
        <v>794</v>
      </c>
      <c r="C38" s="53" t="s">
        <v>811</v>
      </c>
      <c r="D38" s="176">
        <v>512</v>
      </c>
      <c r="E38" s="269">
        <f t="shared" si="0"/>
        <v>0.15130560185349362</v>
      </c>
      <c r="F38" s="176">
        <v>647</v>
      </c>
      <c r="G38" s="269">
        <f t="shared" si="1"/>
        <v>0.19158165909124558</v>
      </c>
      <c r="H38" s="421">
        <f t="shared" si="2"/>
        <v>126.3671875</v>
      </c>
    </row>
    <row r="39" spans="2:8" ht="31.5" x14ac:dyDescent="0.25">
      <c r="B39" s="87" t="s">
        <v>801</v>
      </c>
      <c r="C39" s="53" t="s">
        <v>810</v>
      </c>
      <c r="D39" s="176">
        <v>2834</v>
      </c>
      <c r="E39" s="269">
        <f t="shared" si="0"/>
        <v>0.83750014775937676</v>
      </c>
      <c r="F39" s="176">
        <v>146</v>
      </c>
      <c r="G39" s="269">
        <f t="shared" si="1"/>
        <v>4.3231719053047686E-2</v>
      </c>
      <c r="H39" s="421">
        <f t="shared" si="2"/>
        <v>5.1517290049400142</v>
      </c>
    </row>
    <row r="40" spans="2:8" ht="47.25" x14ac:dyDescent="0.25">
      <c r="B40" s="87" t="s">
        <v>812</v>
      </c>
      <c r="C40" s="53" t="s">
        <v>821</v>
      </c>
      <c r="D40" s="176">
        <v>0</v>
      </c>
      <c r="E40" s="269">
        <f t="shared" si="0"/>
        <v>0</v>
      </c>
      <c r="F40" s="176">
        <v>0</v>
      </c>
      <c r="G40" s="269">
        <f t="shared" si="1"/>
        <v>0</v>
      </c>
      <c r="H40" s="421" t="s">
        <v>80</v>
      </c>
    </row>
    <row r="41" spans="2:8" ht="15.75" x14ac:dyDescent="0.25">
      <c r="B41" s="87" t="s">
        <v>813</v>
      </c>
      <c r="C41" s="53" t="s">
        <v>822</v>
      </c>
      <c r="D41" s="176">
        <v>0</v>
      </c>
      <c r="E41" s="269">
        <f t="shared" si="0"/>
        <v>0</v>
      </c>
      <c r="F41" s="176">
        <v>0</v>
      </c>
      <c r="G41" s="269">
        <f t="shared" si="1"/>
        <v>0</v>
      </c>
      <c r="H41" s="421" t="s">
        <v>80</v>
      </c>
    </row>
    <row r="42" spans="2:8" ht="31.5" x14ac:dyDescent="0.25">
      <c r="B42" s="87" t="s">
        <v>814</v>
      </c>
      <c r="C42" s="53" t="s">
        <v>823</v>
      </c>
      <c r="D42" s="176">
        <v>0</v>
      </c>
      <c r="E42" s="269">
        <f t="shared" si="0"/>
        <v>0</v>
      </c>
      <c r="F42" s="176">
        <v>0</v>
      </c>
      <c r="G42" s="269">
        <f t="shared" si="1"/>
        <v>0</v>
      </c>
      <c r="H42" s="421" t="s">
        <v>80</v>
      </c>
    </row>
    <row r="43" spans="2:8" ht="31.5" x14ac:dyDescent="0.25">
      <c r="B43" s="87" t="s">
        <v>815</v>
      </c>
      <c r="C43" s="53" t="s">
        <v>824</v>
      </c>
      <c r="D43" s="176">
        <v>0</v>
      </c>
      <c r="E43" s="269">
        <f t="shared" si="0"/>
        <v>0</v>
      </c>
      <c r="F43" s="176">
        <v>0</v>
      </c>
      <c r="G43" s="269">
        <f t="shared" si="1"/>
        <v>0</v>
      </c>
      <c r="H43" s="421" t="s">
        <v>80</v>
      </c>
    </row>
    <row r="44" spans="2:8" ht="15.75" x14ac:dyDescent="0.25">
      <c r="B44" s="87" t="s">
        <v>816</v>
      </c>
      <c r="C44" s="53" t="s">
        <v>825</v>
      </c>
      <c r="D44" s="176">
        <v>0</v>
      </c>
      <c r="E44" s="269">
        <f t="shared" si="0"/>
        <v>0</v>
      </c>
      <c r="F44" s="176">
        <v>0</v>
      </c>
      <c r="G44" s="269">
        <f t="shared" si="1"/>
        <v>0</v>
      </c>
      <c r="H44" s="421" t="s">
        <v>80</v>
      </c>
    </row>
    <row r="45" spans="2:8" ht="31.5" x14ac:dyDescent="0.25">
      <c r="B45" s="87" t="s">
        <v>817</v>
      </c>
      <c r="C45" s="53" t="s">
        <v>826</v>
      </c>
      <c r="D45" s="176">
        <v>0</v>
      </c>
      <c r="E45" s="269">
        <f t="shared" si="0"/>
        <v>0</v>
      </c>
      <c r="F45" s="176">
        <v>0</v>
      </c>
      <c r="G45" s="269">
        <f t="shared" si="1"/>
        <v>0</v>
      </c>
      <c r="H45" s="421" t="s">
        <v>80</v>
      </c>
    </row>
    <row r="46" spans="2:8" ht="15.75" x14ac:dyDescent="0.25">
      <c r="B46" s="87" t="s">
        <v>818</v>
      </c>
      <c r="C46" s="53" t="s">
        <v>827</v>
      </c>
      <c r="D46" s="176">
        <v>0</v>
      </c>
      <c r="E46" s="269">
        <f t="shared" si="0"/>
        <v>0</v>
      </c>
      <c r="F46" s="176">
        <v>-765</v>
      </c>
      <c r="G46" s="269">
        <f t="shared" si="1"/>
        <v>-0.22652236353138</v>
      </c>
      <c r="H46" s="421" t="s">
        <v>80</v>
      </c>
    </row>
    <row r="47" spans="2:8" ht="15.75" x14ac:dyDescent="0.25">
      <c r="B47" s="87" t="s">
        <v>819</v>
      </c>
      <c r="C47" s="53" t="s">
        <v>828</v>
      </c>
      <c r="D47" s="176">
        <v>156</v>
      </c>
      <c r="E47" s="269">
        <f t="shared" si="0"/>
        <v>4.6100925564736335E-2</v>
      </c>
      <c r="F47" s="176">
        <v>417</v>
      </c>
      <c r="G47" s="269">
        <f t="shared" si="1"/>
        <v>0.12347689619945812</v>
      </c>
      <c r="H47" s="421">
        <f t="shared" si="2"/>
        <v>267.30769230769226</v>
      </c>
    </row>
    <row r="48" spans="2:8" ht="31.5" x14ac:dyDescent="0.25">
      <c r="B48" s="87" t="s">
        <v>820</v>
      </c>
      <c r="C48" s="53" t="s">
        <v>829</v>
      </c>
      <c r="D48" s="176">
        <v>0</v>
      </c>
      <c r="E48" s="269">
        <f t="shared" si="0"/>
        <v>0</v>
      </c>
      <c r="F48" s="176">
        <v>-31</v>
      </c>
      <c r="G48" s="269">
        <f t="shared" si="1"/>
        <v>-9.1793376071539617E-3</v>
      </c>
      <c r="H48" s="421" t="s">
        <v>80</v>
      </c>
    </row>
    <row r="49" spans="2:8" ht="15.75" x14ac:dyDescent="0.25">
      <c r="B49" s="87" t="s">
        <v>258</v>
      </c>
      <c r="C49" s="53" t="s">
        <v>758</v>
      </c>
      <c r="D49" s="176">
        <v>2885</v>
      </c>
      <c r="E49" s="269">
        <f t="shared" si="0"/>
        <v>0.85257160419400213</v>
      </c>
      <c r="F49" s="176">
        <v>53</v>
      </c>
      <c r="G49" s="269">
        <f t="shared" si="1"/>
        <v>1.5693706231585804E-2</v>
      </c>
      <c r="H49" s="421">
        <f t="shared" si="2"/>
        <v>1.8370883882149045</v>
      </c>
    </row>
    <row r="50" spans="2:8" ht="15.75" x14ac:dyDescent="0.25">
      <c r="B50" s="209"/>
      <c r="C50" s="51" t="s">
        <v>760</v>
      </c>
      <c r="D50" s="173">
        <f>D16+D19+D26-D28+D35+D36+D38+D41+D44+D46+D49</f>
        <v>338388</v>
      </c>
      <c r="E50" s="306">
        <f>E16+E19+E26-E28+E35+E36+E38+E41+E44+E46+E49</f>
        <v>99.999999999999986</v>
      </c>
      <c r="F50" s="173">
        <f>F16+F19+F26-F28+F35+F36+F38+F41+F44+F46+F49</f>
        <v>337715</v>
      </c>
      <c r="G50" s="306">
        <f>G16+G19+G26-G28+G35+G36+G38+G41+G44+G46+G49</f>
        <v>99.999999999999986</v>
      </c>
      <c r="H50" s="423">
        <f t="shared" si="2"/>
        <v>99.801115878813675</v>
      </c>
    </row>
    <row r="51" spans="2:8" ht="15.75" x14ac:dyDescent="0.25">
      <c r="B51" s="87" t="s">
        <v>259</v>
      </c>
      <c r="C51" s="53" t="s">
        <v>759</v>
      </c>
      <c r="D51" s="176">
        <v>7282</v>
      </c>
      <c r="E51" s="269">
        <f>D51/D$50%</f>
        <v>2.1519675638616027</v>
      </c>
      <c r="F51" s="176">
        <v>6607</v>
      </c>
      <c r="G51" s="269">
        <f>F51/F$50%</f>
        <v>1.9563833409827813</v>
      </c>
      <c r="H51" s="421">
        <f t="shared" si="2"/>
        <v>90.730568525130465</v>
      </c>
    </row>
    <row r="52" spans="2:8" ht="15.75" x14ac:dyDescent="0.25">
      <c r="B52" s="87" t="s">
        <v>260</v>
      </c>
      <c r="C52" s="53" t="s">
        <v>542</v>
      </c>
      <c r="D52" s="176">
        <v>75133</v>
      </c>
      <c r="E52" s="269">
        <f t="shared" ref="E52:E56" si="3">D52/D$50%</f>
        <v>22.203210515739329</v>
      </c>
      <c r="F52" s="176">
        <v>80331</v>
      </c>
      <c r="G52" s="269">
        <f t="shared" ref="G52:G56" si="4">F52/F$50%</f>
        <v>23.78662481678338</v>
      </c>
      <c r="H52" s="421">
        <f t="shared" si="2"/>
        <v>106.91839804080763</v>
      </c>
    </row>
    <row r="53" spans="2:8" ht="15.75" x14ac:dyDescent="0.25">
      <c r="B53" s="87" t="s">
        <v>696</v>
      </c>
      <c r="C53" s="53" t="s">
        <v>407</v>
      </c>
      <c r="D53" s="176">
        <v>18009</v>
      </c>
      <c r="E53" s="269">
        <f t="shared" si="3"/>
        <v>5.3219972339444661</v>
      </c>
      <c r="F53" s="176">
        <v>19255</v>
      </c>
      <c r="G53" s="269">
        <f t="shared" si="4"/>
        <v>5.7015530847015974</v>
      </c>
      <c r="H53" s="421">
        <f t="shared" si="2"/>
        <v>106.91876284080182</v>
      </c>
    </row>
    <row r="54" spans="2:8" ht="15.75" x14ac:dyDescent="0.25">
      <c r="B54" s="87" t="s">
        <v>698</v>
      </c>
      <c r="C54" s="53" t="s">
        <v>830</v>
      </c>
      <c r="D54" s="176">
        <v>74541</v>
      </c>
      <c r="E54" s="269">
        <f t="shared" si="3"/>
        <v>22.028263413596225</v>
      </c>
      <c r="F54" s="176">
        <v>80973</v>
      </c>
      <c r="G54" s="269">
        <f t="shared" si="4"/>
        <v>23.976725937550892</v>
      </c>
      <c r="H54" s="421">
        <f t="shared" si="2"/>
        <v>108.62880830683785</v>
      </c>
    </row>
    <row r="55" spans="2:8" ht="15.75" x14ac:dyDescent="0.25">
      <c r="B55" s="87" t="s">
        <v>701</v>
      </c>
      <c r="C55" s="53" t="s">
        <v>761</v>
      </c>
      <c r="D55" s="176">
        <v>0</v>
      </c>
      <c r="E55" s="269">
        <f t="shared" si="3"/>
        <v>0</v>
      </c>
      <c r="F55" s="176">
        <v>0</v>
      </c>
      <c r="G55" s="54">
        <f t="shared" si="4"/>
        <v>0</v>
      </c>
      <c r="H55" s="421" t="s">
        <v>80</v>
      </c>
    </row>
    <row r="56" spans="2:8" ht="15.75" x14ac:dyDescent="0.25">
      <c r="B56" s="87" t="s">
        <v>703</v>
      </c>
      <c r="C56" s="53" t="s">
        <v>762</v>
      </c>
      <c r="D56" s="176">
        <v>0</v>
      </c>
      <c r="E56" s="269">
        <f t="shared" si="3"/>
        <v>0</v>
      </c>
      <c r="F56" s="176">
        <v>0</v>
      </c>
      <c r="G56" s="54">
        <f t="shared" si="4"/>
        <v>0</v>
      </c>
      <c r="H56" s="421" t="s">
        <v>80</v>
      </c>
    </row>
    <row r="57" spans="2:8" ht="15.75" x14ac:dyDescent="0.25">
      <c r="B57" s="170" t="s">
        <v>705</v>
      </c>
      <c r="C57" s="49" t="s">
        <v>763</v>
      </c>
      <c r="D57" s="172">
        <f>D16+D19+D20+D26+D35+D36+D37+D51-D52-D53-D54-D55-D56+D49</f>
        <v>179251</v>
      </c>
      <c r="E57" s="425">
        <f>D57/D50%</f>
        <v>52.972032105157389</v>
      </c>
      <c r="F57" s="172">
        <f>F16+F19+F20+F26+F35+F36+F37+F51-F52-F53-F54-F55-F56+F49</f>
        <v>153373</v>
      </c>
      <c r="G57" s="425">
        <f>F57/F50%</f>
        <v>45.414920865226598</v>
      </c>
      <c r="H57" s="424">
        <f>F57/D57*100</f>
        <v>85.563260456008621</v>
      </c>
    </row>
    <row r="58" spans="2:8" ht="15.75" x14ac:dyDescent="0.25">
      <c r="B58" s="87" t="s">
        <v>707</v>
      </c>
      <c r="C58" s="53" t="s">
        <v>764</v>
      </c>
      <c r="D58" s="176">
        <v>4767</v>
      </c>
      <c r="E58" s="269">
        <f>D58/D$50%</f>
        <v>1.4087378985070391</v>
      </c>
      <c r="F58" s="176">
        <v>5155</v>
      </c>
      <c r="G58" s="269">
        <f>F58/F$50%</f>
        <v>1.5264350117702796</v>
      </c>
      <c r="H58" s="421">
        <f>F58/D58*100</f>
        <v>108.13929095867422</v>
      </c>
    </row>
    <row r="59" spans="2:8" ht="15.75" x14ac:dyDescent="0.25">
      <c r="B59" s="87" t="s">
        <v>709</v>
      </c>
      <c r="C59" s="53" t="s">
        <v>765</v>
      </c>
      <c r="D59" s="176">
        <f>D60-D61+D62-D63</f>
        <v>135</v>
      </c>
      <c r="E59" s="269">
        <f t="shared" ref="E59:E66" si="5">D59/D$50%</f>
        <v>3.9895031738714136E-2</v>
      </c>
      <c r="F59" s="176">
        <f>F60-F61+F62-F63</f>
        <v>330</v>
      </c>
      <c r="G59" s="269">
        <f t="shared" ref="G59:G66" si="6">F59/F$50%</f>
        <v>9.7715529366477649E-2</v>
      </c>
      <c r="H59" s="421">
        <f t="shared" ref="H59:H65" si="7">F59/D59*100</f>
        <v>244.44444444444446</v>
      </c>
    </row>
    <row r="60" spans="2:8" ht="15.75" x14ac:dyDescent="0.25">
      <c r="B60" s="87" t="s">
        <v>831</v>
      </c>
      <c r="C60" s="53" t="s">
        <v>835</v>
      </c>
      <c r="D60" s="176">
        <v>104</v>
      </c>
      <c r="E60" s="269">
        <f t="shared" si="5"/>
        <v>3.073395037649089E-2</v>
      </c>
      <c r="F60" s="176">
        <v>260</v>
      </c>
      <c r="G60" s="269">
        <f t="shared" si="6"/>
        <v>7.698799283419451E-2</v>
      </c>
      <c r="H60" s="421">
        <f t="shared" si="7"/>
        <v>250</v>
      </c>
    </row>
    <row r="61" spans="2:8" ht="15.75" x14ac:dyDescent="0.25">
      <c r="B61" s="87" t="s">
        <v>832</v>
      </c>
      <c r="C61" s="53" t="s">
        <v>836</v>
      </c>
      <c r="D61" s="176">
        <v>18</v>
      </c>
      <c r="E61" s="269">
        <f t="shared" si="5"/>
        <v>5.3193375651618847E-3</v>
      </c>
      <c r="F61" s="176">
        <v>73</v>
      </c>
      <c r="G61" s="269">
        <f t="shared" si="6"/>
        <v>2.1615859526523843E-2</v>
      </c>
      <c r="H61" s="421">
        <f t="shared" si="7"/>
        <v>405.55555555555554</v>
      </c>
    </row>
    <row r="62" spans="2:8" ht="15.75" x14ac:dyDescent="0.25">
      <c r="B62" s="87" t="s">
        <v>833</v>
      </c>
      <c r="C62" s="53" t="s">
        <v>837</v>
      </c>
      <c r="D62" s="176">
        <v>87</v>
      </c>
      <c r="E62" s="269">
        <f t="shared" si="5"/>
        <v>2.5710131564949112E-2</v>
      </c>
      <c r="F62" s="176">
        <v>221</v>
      </c>
      <c r="G62" s="269">
        <f t="shared" si="6"/>
        <v>6.5439793909065333E-2</v>
      </c>
      <c r="H62" s="421">
        <f t="shared" si="7"/>
        <v>254.02298850574715</v>
      </c>
    </row>
    <row r="63" spans="2:8" ht="15.75" x14ac:dyDescent="0.25">
      <c r="B63" s="87" t="s">
        <v>834</v>
      </c>
      <c r="C63" s="53" t="s">
        <v>838</v>
      </c>
      <c r="D63" s="176">
        <v>38</v>
      </c>
      <c r="E63" s="269">
        <f t="shared" si="5"/>
        <v>1.122971263756398E-2</v>
      </c>
      <c r="F63" s="176">
        <v>78</v>
      </c>
      <c r="G63" s="269">
        <f t="shared" si="6"/>
        <v>2.3096397850258354E-2</v>
      </c>
      <c r="H63" s="421">
        <f t="shared" si="7"/>
        <v>205.26315789473685</v>
      </c>
    </row>
    <row r="64" spans="2:8" ht="15.75" x14ac:dyDescent="0.25">
      <c r="B64" s="87" t="s">
        <v>711</v>
      </c>
      <c r="C64" s="53" t="s">
        <v>766</v>
      </c>
      <c r="D64" s="176">
        <f>D58+D59</f>
        <v>4902</v>
      </c>
      <c r="E64" s="269">
        <f t="shared" si="5"/>
        <v>1.4486329302457535</v>
      </c>
      <c r="F64" s="176">
        <f>F58+F59</f>
        <v>5485</v>
      </c>
      <c r="G64" s="269">
        <f t="shared" si="6"/>
        <v>1.6241505411367574</v>
      </c>
      <c r="H64" s="421">
        <f t="shared" si="7"/>
        <v>111.89310485516116</v>
      </c>
    </row>
    <row r="65" spans="2:8" ht="15.75" x14ac:dyDescent="0.25">
      <c r="B65" s="87" t="s">
        <v>713</v>
      </c>
      <c r="C65" s="53" t="s">
        <v>767</v>
      </c>
      <c r="D65" s="176">
        <f>D57-D64</f>
        <v>174349</v>
      </c>
      <c r="E65" s="269">
        <f t="shared" si="5"/>
        <v>51.523399174911638</v>
      </c>
      <c r="F65" s="176">
        <f>F57-F64</f>
        <v>147888</v>
      </c>
      <c r="G65" s="269">
        <f t="shared" si="6"/>
        <v>43.790770324089841</v>
      </c>
      <c r="H65" s="421">
        <f t="shared" si="7"/>
        <v>84.822970019902613</v>
      </c>
    </row>
    <row r="66" spans="2:8" ht="15.75" x14ac:dyDescent="0.25">
      <c r="B66" s="87" t="s">
        <v>715</v>
      </c>
      <c r="C66" s="53" t="s">
        <v>839</v>
      </c>
      <c r="D66" s="176">
        <v>0</v>
      </c>
      <c r="E66" s="269">
        <f t="shared" si="5"/>
        <v>0</v>
      </c>
      <c r="F66" s="176">
        <v>0</v>
      </c>
      <c r="G66" s="269">
        <f t="shared" si="6"/>
        <v>0</v>
      </c>
      <c r="H66" s="421" t="s">
        <v>80</v>
      </c>
    </row>
    <row r="67" spans="2:8" ht="15.75" x14ac:dyDescent="0.25">
      <c r="B67" s="170" t="s">
        <v>718</v>
      </c>
      <c r="C67" s="219" t="s">
        <v>768</v>
      </c>
      <c r="D67" s="172">
        <f>D65+D66</f>
        <v>174349</v>
      </c>
      <c r="E67" s="425">
        <f>D67/D$50%</f>
        <v>51.523399174911638</v>
      </c>
      <c r="F67" s="172">
        <f>F65+F66</f>
        <v>147888</v>
      </c>
      <c r="G67" s="425">
        <f>F67/F$50%</f>
        <v>43.790770324089841</v>
      </c>
      <c r="H67" s="424">
        <f>F67/D67*100</f>
        <v>84.822970019902613</v>
      </c>
    </row>
    <row r="68" spans="2:8" ht="15.75" x14ac:dyDescent="0.25">
      <c r="B68" s="87"/>
      <c r="C68" s="216" t="s">
        <v>773</v>
      </c>
      <c r="D68" s="176"/>
      <c r="E68" s="54"/>
      <c r="F68" s="176"/>
      <c r="G68" s="269"/>
      <c r="H68" s="421"/>
    </row>
    <row r="69" spans="2:8" ht="15.75" x14ac:dyDescent="0.25">
      <c r="B69" s="87" t="s">
        <v>720</v>
      </c>
      <c r="C69" s="199" t="s">
        <v>769</v>
      </c>
      <c r="D69" s="176">
        <v>7012</v>
      </c>
      <c r="E69" s="269">
        <f>D69/D71%</f>
        <v>102.83032702742338</v>
      </c>
      <c r="F69" s="176">
        <v>3658</v>
      </c>
      <c r="G69" s="269">
        <f>F69/F71%</f>
        <v>90.522147983172488</v>
      </c>
      <c r="H69" s="421">
        <f>F69/D69*100</f>
        <v>52.16771249286937</v>
      </c>
    </row>
    <row r="70" spans="2:8" ht="15.75" x14ac:dyDescent="0.25">
      <c r="B70" s="87" t="s">
        <v>722</v>
      </c>
      <c r="C70" s="199" t="s">
        <v>770</v>
      </c>
      <c r="D70" s="176">
        <v>-193</v>
      </c>
      <c r="E70" s="269">
        <f>D70/D71%</f>
        <v>-2.8303270274233761</v>
      </c>
      <c r="F70" s="176">
        <v>383</v>
      </c>
      <c r="G70" s="269">
        <f>F70/F71%</f>
        <v>9.4778520168275193</v>
      </c>
      <c r="H70" s="421">
        <f t="shared" ref="H70:H71" si="8">F70/D70*100</f>
        <v>-198.44559585492226</v>
      </c>
    </row>
    <row r="71" spans="2:8" ht="15.75" x14ac:dyDescent="0.25">
      <c r="B71" s="87" t="s">
        <v>724</v>
      </c>
      <c r="C71" s="216" t="s">
        <v>771</v>
      </c>
      <c r="D71" s="173">
        <f>D69+D70</f>
        <v>6819</v>
      </c>
      <c r="E71" s="306">
        <f>E69+E70</f>
        <v>100</v>
      </c>
      <c r="F71" s="173">
        <f>F69+F70</f>
        <v>4041</v>
      </c>
      <c r="G71" s="306">
        <f>G69+G70</f>
        <v>100</v>
      </c>
      <c r="H71" s="423">
        <f t="shared" si="8"/>
        <v>59.260888693356797</v>
      </c>
    </row>
    <row r="72" spans="2:8" ht="15.75" x14ac:dyDescent="0.25">
      <c r="B72" s="170" t="s">
        <v>726</v>
      </c>
      <c r="C72" s="219" t="s">
        <v>772</v>
      </c>
      <c r="D72" s="172">
        <f>D67+D71</f>
        <v>181168</v>
      </c>
      <c r="E72" s="260"/>
      <c r="F72" s="172">
        <f>F67+F71</f>
        <v>151929</v>
      </c>
      <c r="G72" s="260"/>
      <c r="H72" s="424">
        <f>F72/D72*100</f>
        <v>83.860836350790422</v>
      </c>
    </row>
  </sheetData>
  <mergeCells count="4">
    <mergeCell ref="B4:H4"/>
    <mergeCell ref="B5:B6"/>
    <mergeCell ref="D5:E5"/>
    <mergeCell ref="F5:G5"/>
  </mergeCells>
  <pageMargins left="0" right="0" top="0" bottom="0" header="0.31496062992125984" footer="0.31496062992125984"/>
  <pageSetup paperSize="9" scale="85" orientation="landscape" r:id="rId1"/>
  <ignoredErrors>
    <ignoredError sqref="E9:E27 E37:F37 E50 E57:F57 E67:F67 F9:F26 G50:G57 E59:H65 E66:G66" formula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J11"/>
  <sheetViews>
    <sheetView workbookViewId="0"/>
  </sheetViews>
  <sheetFormatPr defaultRowHeight="15" x14ac:dyDescent="0.25"/>
  <cols>
    <col min="3" max="3" width="17.140625" customWidth="1"/>
    <col min="4" max="4" width="16.7109375" customWidth="1"/>
    <col min="5" max="5" width="13.42578125" customWidth="1"/>
    <col min="6" max="6" width="18.140625" customWidth="1"/>
    <col min="7" max="7" width="10.7109375" customWidth="1"/>
  </cols>
  <sheetData>
    <row r="2" spans="2:10" ht="15.75" x14ac:dyDescent="0.25">
      <c r="C2" s="2"/>
      <c r="D2" s="2"/>
      <c r="E2" s="2"/>
      <c r="F2" s="2"/>
      <c r="G2" s="2"/>
    </row>
    <row r="3" spans="2:10" ht="16.5" thickBot="1" x14ac:dyDescent="0.3">
      <c r="B3" s="47"/>
      <c r="C3" s="166" t="s">
        <v>123</v>
      </c>
      <c r="D3" s="167"/>
      <c r="E3" s="167"/>
      <c r="F3" s="167"/>
      <c r="G3" s="78" t="s">
        <v>265</v>
      </c>
    </row>
    <row r="4" spans="2:10" ht="24.95" customHeight="1" thickTop="1" x14ac:dyDescent="0.25">
      <c r="B4" s="454" t="s">
        <v>1329</v>
      </c>
      <c r="C4" s="454"/>
      <c r="D4" s="454"/>
      <c r="E4" s="454"/>
      <c r="F4" s="454"/>
      <c r="G4" s="454"/>
    </row>
    <row r="5" spans="2:10" ht="15.75" x14ac:dyDescent="0.25">
      <c r="B5" s="453" t="s">
        <v>100</v>
      </c>
      <c r="C5" s="450" t="s">
        <v>112</v>
      </c>
      <c r="D5" s="450" t="s">
        <v>608</v>
      </c>
      <c r="E5" s="450"/>
      <c r="F5" s="450" t="s">
        <v>609</v>
      </c>
      <c r="G5" s="450"/>
    </row>
    <row r="6" spans="2:10" ht="31.5" customHeight="1" x14ac:dyDescent="0.25">
      <c r="B6" s="453"/>
      <c r="C6" s="450"/>
      <c r="D6" s="84" t="s">
        <v>118</v>
      </c>
      <c r="E6" s="84" t="s">
        <v>119</v>
      </c>
      <c r="F6" s="84" t="s">
        <v>120</v>
      </c>
      <c r="G6" s="84" t="s">
        <v>25</v>
      </c>
    </row>
    <row r="7" spans="2:10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</row>
    <row r="8" spans="2:10" ht="15.75" x14ac:dyDescent="0.25">
      <c r="B8" s="160" t="s">
        <v>247</v>
      </c>
      <c r="C8" s="99" t="s">
        <v>122</v>
      </c>
      <c r="D8" s="89">
        <v>174349</v>
      </c>
      <c r="E8" s="101">
        <v>13</v>
      </c>
      <c r="F8" s="89">
        <v>147888</v>
      </c>
      <c r="G8" s="101">
        <v>13</v>
      </c>
      <c r="I8" s="14"/>
    </row>
    <row r="9" spans="2:10" ht="15.75" x14ac:dyDescent="0.25">
      <c r="B9" s="160" t="s">
        <v>248</v>
      </c>
      <c r="C9" s="99" t="s">
        <v>121</v>
      </c>
      <c r="D9" s="89">
        <v>0</v>
      </c>
      <c r="E9" s="101">
        <v>0</v>
      </c>
      <c r="F9" s="89">
        <v>0</v>
      </c>
      <c r="G9" s="101">
        <v>0</v>
      </c>
      <c r="I9" s="14"/>
    </row>
    <row r="10" spans="2:10" ht="20.100000000000001" customHeight="1" x14ac:dyDescent="0.25">
      <c r="B10" s="450" t="s">
        <v>18</v>
      </c>
      <c r="C10" s="450"/>
      <c r="D10" s="92">
        <f>D8-D9</f>
        <v>174349</v>
      </c>
      <c r="E10" s="84">
        <f t="shared" ref="E10:G10" si="0">E8+E9</f>
        <v>13</v>
      </c>
      <c r="F10" s="92">
        <f>F8-F9</f>
        <v>147888</v>
      </c>
      <c r="G10" s="84">
        <f t="shared" si="0"/>
        <v>13</v>
      </c>
      <c r="I10" s="26"/>
      <c r="J10" s="26"/>
    </row>
    <row r="11" spans="2:10" x14ac:dyDescent="0.25">
      <c r="I11" s="26"/>
      <c r="J11" s="26"/>
    </row>
  </sheetData>
  <mergeCells count="6">
    <mergeCell ref="B4:G4"/>
    <mergeCell ref="B5:B6"/>
    <mergeCell ref="B10:C10"/>
    <mergeCell ref="C5:C6"/>
    <mergeCell ref="D5:E5"/>
    <mergeCell ref="F5:G5"/>
  </mergeCells>
  <pageMargins left="0.7" right="0.7" top="0.75" bottom="0.75" header="0.3" footer="0.3"/>
  <pageSetup paperSize="9" orientation="landscape" r:id="rId1"/>
  <ignoredErrors>
    <ignoredError sqref="D10 E10:F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K45"/>
  <sheetViews>
    <sheetView workbookViewId="0"/>
  </sheetViews>
  <sheetFormatPr defaultColWidth="9.140625" defaultRowHeight="15" x14ac:dyDescent="0.25"/>
  <cols>
    <col min="2" max="2" width="7.42578125" customWidth="1"/>
    <col min="3" max="3" width="17.42578125" customWidth="1"/>
    <col min="4" max="4" width="13.85546875" customWidth="1"/>
    <col min="5" max="5" width="12.140625" customWidth="1"/>
    <col min="6" max="6" width="14.85546875" customWidth="1"/>
    <col min="7" max="7" width="15.140625" customWidth="1"/>
    <col min="8" max="8" width="16.140625" customWidth="1"/>
  </cols>
  <sheetData>
    <row r="2" spans="2:11" x14ac:dyDescent="0.25">
      <c r="J2" s="41"/>
    </row>
    <row r="3" spans="2:11" ht="16.5" thickBot="1" x14ac:dyDescent="0.3">
      <c r="C3" s="17" t="s">
        <v>6</v>
      </c>
      <c r="D3" s="1"/>
      <c r="E3" s="1"/>
      <c r="F3" s="1"/>
      <c r="G3" s="1"/>
      <c r="H3" s="62" t="s">
        <v>261</v>
      </c>
    </row>
    <row r="4" spans="2:11" ht="24.95" customHeight="1" thickTop="1" x14ac:dyDescent="0.25">
      <c r="B4" s="446" t="s">
        <v>676</v>
      </c>
      <c r="C4" s="446"/>
      <c r="D4" s="446"/>
      <c r="E4" s="446"/>
      <c r="F4" s="446"/>
      <c r="G4" s="446"/>
      <c r="H4" s="446"/>
    </row>
    <row r="5" spans="2:11" ht="15.75" x14ac:dyDescent="0.25">
      <c r="B5" s="443" t="s">
        <v>100</v>
      </c>
      <c r="C5" s="443" t="s">
        <v>0</v>
      </c>
      <c r="D5" s="443" t="s">
        <v>601</v>
      </c>
      <c r="E5" s="443"/>
      <c r="F5" s="443" t="s">
        <v>602</v>
      </c>
      <c r="G5" s="443"/>
      <c r="H5" s="50" t="s">
        <v>1</v>
      </c>
    </row>
    <row r="6" spans="2:11" ht="15.75" x14ac:dyDescent="0.25">
      <c r="B6" s="443"/>
      <c r="C6" s="443"/>
      <c r="D6" s="50" t="s">
        <v>2</v>
      </c>
      <c r="E6" s="50" t="s">
        <v>20</v>
      </c>
      <c r="F6" s="50" t="s">
        <v>2</v>
      </c>
      <c r="G6" s="50" t="s">
        <v>20</v>
      </c>
      <c r="H6" s="50" t="s">
        <v>333</v>
      </c>
    </row>
    <row r="7" spans="2:11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</row>
    <row r="8" spans="2:11" ht="15.75" x14ac:dyDescent="0.25">
      <c r="B8" s="52" t="s">
        <v>247</v>
      </c>
      <c r="C8" s="57" t="s">
        <v>3</v>
      </c>
      <c r="D8" s="55">
        <v>162353</v>
      </c>
      <c r="E8" s="58">
        <f>D8/D10*100</f>
        <v>3.9391191093849023</v>
      </c>
      <c r="F8" s="55">
        <v>165613</v>
      </c>
      <c r="G8" s="58">
        <f>F8/F10*100</f>
        <v>3.9092169787382196</v>
      </c>
      <c r="H8" s="61">
        <f>F8/D8*100</f>
        <v>102.00797028696729</v>
      </c>
    </row>
    <row r="9" spans="2:11" ht="15.75" x14ac:dyDescent="0.25">
      <c r="B9" s="52" t="s">
        <v>248</v>
      </c>
      <c r="C9" s="53" t="s">
        <v>4</v>
      </c>
      <c r="D9" s="55">
        <v>3959203</v>
      </c>
      <c r="E9" s="58">
        <f>D9/D10*100</f>
        <v>96.060880890615095</v>
      </c>
      <c r="F9" s="55">
        <v>4070862</v>
      </c>
      <c r="G9" s="58">
        <f>F9/F10*100</f>
        <v>96.090783021261785</v>
      </c>
      <c r="H9" s="61">
        <f>F9/D9*100</f>
        <v>102.82023932594515</v>
      </c>
    </row>
    <row r="10" spans="2:11" ht="15.75" x14ac:dyDescent="0.25">
      <c r="B10" s="443" t="s">
        <v>18</v>
      </c>
      <c r="C10" s="443"/>
      <c r="D10" s="56">
        <f t="shared" ref="D10:G10" si="0">SUM(D8:D9)</f>
        <v>4121556</v>
      </c>
      <c r="E10" s="50">
        <f t="shared" si="0"/>
        <v>100</v>
      </c>
      <c r="F10" s="56">
        <f t="shared" si="0"/>
        <v>4236475</v>
      </c>
      <c r="G10" s="59">
        <f t="shared" si="0"/>
        <v>100</v>
      </c>
      <c r="H10" s="59">
        <f>F10/D10*100</f>
        <v>102.78824308101116</v>
      </c>
      <c r="J10" s="14"/>
      <c r="K10" s="14"/>
    </row>
    <row r="11" spans="2:11" ht="21" customHeight="1" x14ac:dyDescent="0.25"/>
    <row r="12" spans="2:11" ht="19.5" customHeight="1" x14ac:dyDescent="0.25"/>
    <row r="13" spans="2:11" x14ac:dyDescent="0.25">
      <c r="F13" s="14"/>
    </row>
    <row r="45" spans="6:6" x14ac:dyDescent="0.25">
      <c r="F45" s="268"/>
    </row>
  </sheetData>
  <mergeCells count="6">
    <mergeCell ref="B10:C10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F10 D10" formulaRange="1"/>
    <ignoredError sqref="G10" evalError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sheetPr>
    <pageSetUpPr fitToPage="1"/>
  </sheetPr>
  <dimension ref="B3:M29"/>
  <sheetViews>
    <sheetView workbookViewId="0">
      <selection activeCell="L17" sqref="L17"/>
    </sheetView>
  </sheetViews>
  <sheetFormatPr defaultRowHeight="15" x14ac:dyDescent="0.25"/>
  <cols>
    <col min="2" max="2" width="7.5703125" customWidth="1"/>
    <col min="3" max="3" width="50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3" ht="16.5" thickBot="1" x14ac:dyDescent="0.3">
      <c r="B3" s="47"/>
      <c r="C3" s="69"/>
      <c r="D3" s="68"/>
      <c r="E3" s="68"/>
      <c r="F3" s="68"/>
      <c r="G3" s="68"/>
      <c r="H3" s="78" t="s">
        <v>265</v>
      </c>
    </row>
    <row r="4" spans="2:13" ht="24.95" customHeight="1" thickTop="1" x14ac:dyDescent="0.25">
      <c r="B4" s="454" t="s">
        <v>1330</v>
      </c>
      <c r="C4" s="454"/>
      <c r="D4" s="454"/>
      <c r="E4" s="454"/>
      <c r="F4" s="454"/>
      <c r="G4" s="454"/>
      <c r="H4" s="454"/>
    </row>
    <row r="5" spans="2:13" ht="15.95" customHeight="1" x14ac:dyDescent="0.25">
      <c r="B5" s="448" t="s">
        <v>100</v>
      </c>
      <c r="C5" s="450" t="s">
        <v>124</v>
      </c>
      <c r="D5" s="450" t="s">
        <v>608</v>
      </c>
      <c r="E5" s="450"/>
      <c r="F5" s="450" t="s">
        <v>609</v>
      </c>
      <c r="G5" s="450"/>
      <c r="H5" s="170" t="s">
        <v>1</v>
      </c>
    </row>
    <row r="6" spans="2:13" ht="21" customHeight="1" x14ac:dyDescent="0.25">
      <c r="B6" s="448"/>
      <c r="C6" s="450"/>
      <c r="D6" s="164" t="s">
        <v>125</v>
      </c>
      <c r="E6" s="296" t="s">
        <v>126</v>
      </c>
      <c r="F6" s="164" t="s">
        <v>127</v>
      </c>
      <c r="G6" s="296" t="s">
        <v>128</v>
      </c>
      <c r="H6" s="118" t="s">
        <v>333</v>
      </c>
    </row>
    <row r="7" spans="2:13" ht="16.5" customHeight="1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155">
        <v>7</v>
      </c>
    </row>
    <row r="8" spans="2:13" ht="19.350000000000001" customHeight="1" x14ac:dyDescent="0.25">
      <c r="B8" s="95"/>
      <c r="C8" s="122" t="s">
        <v>362</v>
      </c>
      <c r="D8" s="168"/>
      <c r="E8" s="168"/>
      <c r="F8" s="168"/>
      <c r="G8" s="119"/>
      <c r="H8" s="119"/>
    </row>
    <row r="9" spans="2:13" ht="17.45" customHeight="1" x14ac:dyDescent="0.25">
      <c r="B9" s="87" t="s">
        <v>247</v>
      </c>
      <c r="C9" s="88" t="s">
        <v>534</v>
      </c>
      <c r="D9" s="55">
        <v>33039</v>
      </c>
      <c r="E9" s="90">
        <f>D9/D23*100</f>
        <v>8.1794280168742954</v>
      </c>
      <c r="F9" s="89">
        <v>29849</v>
      </c>
      <c r="G9" s="90">
        <f>F9/F23*100</f>
        <v>7.0140850365872573</v>
      </c>
      <c r="H9" s="91">
        <f>F9/D9*100</f>
        <v>90.344744090317505</v>
      </c>
      <c r="J9" s="14"/>
      <c r="K9" s="290"/>
      <c r="L9" s="291"/>
      <c r="M9" s="291"/>
    </row>
    <row r="10" spans="2:13" ht="15.75" x14ac:dyDescent="0.25">
      <c r="B10" s="87" t="s">
        <v>248</v>
      </c>
      <c r="C10" s="88" t="s">
        <v>535</v>
      </c>
      <c r="D10" s="55">
        <v>192196</v>
      </c>
      <c r="E10" s="90">
        <f>D10/D$23*100</f>
        <v>47.581747242082741</v>
      </c>
      <c r="F10" s="89">
        <v>205703</v>
      </c>
      <c r="G10" s="90">
        <f>F10/F$23*100</f>
        <v>48.337241927069869</v>
      </c>
      <c r="H10" s="91">
        <f t="shared" ref="H10:H23" si="0">F10/D10*100</f>
        <v>107.02772170076381</v>
      </c>
      <c r="J10" s="14"/>
      <c r="K10" s="290"/>
      <c r="L10" s="292"/>
      <c r="M10" s="292"/>
    </row>
    <row r="11" spans="2:13" ht="31.5" x14ac:dyDescent="0.25">
      <c r="B11" s="87" t="s">
        <v>249</v>
      </c>
      <c r="C11" s="88" t="s">
        <v>536</v>
      </c>
      <c r="D11" s="55">
        <v>14125</v>
      </c>
      <c r="E11" s="90">
        <f>D11/D$23*100</f>
        <v>3.496910340456715</v>
      </c>
      <c r="F11" s="89">
        <v>19399</v>
      </c>
      <c r="G11" s="90">
        <f>F11/F$23*100</f>
        <v>4.5584855648348759</v>
      </c>
      <c r="H11" s="91">
        <f t="shared" si="0"/>
        <v>137.33805309734512</v>
      </c>
      <c r="J11" s="14"/>
      <c r="K11" s="290"/>
      <c r="L11" s="292"/>
      <c r="M11" s="292"/>
    </row>
    <row r="12" spans="2:13" ht="31.5" x14ac:dyDescent="0.25">
      <c r="B12" s="87" t="s">
        <v>250</v>
      </c>
      <c r="C12" s="88" t="s">
        <v>537</v>
      </c>
      <c r="D12" s="55">
        <v>1847</v>
      </c>
      <c r="E12" s="90">
        <f>D12/D$23*100</f>
        <v>0.45725970965122498</v>
      </c>
      <c r="F12" s="89">
        <v>674</v>
      </c>
      <c r="G12" s="90">
        <f>F12/F$23*100</f>
        <v>0.15838029128814404</v>
      </c>
      <c r="H12" s="91">
        <f t="shared" si="0"/>
        <v>36.491608012994043</v>
      </c>
      <c r="J12" s="14"/>
      <c r="K12" s="290"/>
      <c r="L12" s="292"/>
      <c r="M12" s="292"/>
    </row>
    <row r="13" spans="2:13" ht="31.5" x14ac:dyDescent="0.25">
      <c r="B13" s="87" t="s">
        <v>251</v>
      </c>
      <c r="C13" s="88" t="s">
        <v>547</v>
      </c>
      <c r="D13" s="55">
        <v>6246</v>
      </c>
      <c r="E13" s="90">
        <f>D13/D$23*100</f>
        <v>1.5463151848844348</v>
      </c>
      <c r="F13" s="89">
        <v>7171</v>
      </c>
      <c r="G13" s="90">
        <f>F13/F$23*100</f>
        <v>1.6850817044915145</v>
      </c>
      <c r="H13" s="91">
        <f t="shared" si="0"/>
        <v>114.80947806596222</v>
      </c>
      <c r="J13" s="14"/>
      <c r="K13" s="290"/>
      <c r="L13" s="292"/>
      <c r="M13" s="292"/>
    </row>
    <row r="14" spans="2:13" ht="15.75" x14ac:dyDescent="0.25">
      <c r="B14" s="450" t="s">
        <v>129</v>
      </c>
      <c r="C14" s="450"/>
      <c r="D14" s="56">
        <f>SUM(D9:D13)</f>
        <v>247453</v>
      </c>
      <c r="E14" s="152">
        <f>D14/D23*100</f>
        <v>61.261660493949421</v>
      </c>
      <c r="F14" s="92">
        <f>SUM(F9:F13)</f>
        <v>262796</v>
      </c>
      <c r="G14" s="152">
        <f>F14/F23*100</f>
        <v>61.75327452427166</v>
      </c>
      <c r="H14" s="93">
        <f t="shared" si="0"/>
        <v>106.20036936307096</v>
      </c>
      <c r="J14" s="14"/>
      <c r="K14" s="290"/>
      <c r="L14" s="291"/>
      <c r="M14" s="291"/>
    </row>
    <row r="15" spans="2:13" ht="15.75" x14ac:dyDescent="0.25">
      <c r="B15" s="95"/>
      <c r="C15" s="122" t="s">
        <v>538</v>
      </c>
      <c r="D15" s="169"/>
      <c r="E15" s="90"/>
      <c r="F15" s="130"/>
      <c r="G15" s="90"/>
      <c r="H15" s="91"/>
      <c r="J15" s="14"/>
      <c r="K15" s="37"/>
    </row>
    <row r="16" spans="2:13" ht="17.100000000000001" customHeight="1" x14ac:dyDescent="0.25">
      <c r="B16" s="98" t="s">
        <v>252</v>
      </c>
      <c r="C16" s="88" t="s">
        <v>539</v>
      </c>
      <c r="D16" s="55">
        <v>127596</v>
      </c>
      <c r="E16" s="90">
        <f t="shared" ref="E16:E21" si="1">D16/D$23*100</f>
        <v>31.588798003604602</v>
      </c>
      <c r="F16" s="89">
        <v>140407</v>
      </c>
      <c r="G16" s="90">
        <f>F16/F$23*100</f>
        <v>32.993622490941306</v>
      </c>
      <c r="H16" s="91">
        <f t="shared" si="0"/>
        <v>110.04028339446377</v>
      </c>
      <c r="J16" s="14"/>
      <c r="K16" s="290"/>
      <c r="L16" s="291"/>
      <c r="M16" s="291"/>
    </row>
    <row r="17" spans="2:13" ht="17.100000000000001" customHeight="1" x14ac:dyDescent="0.25">
      <c r="B17" s="98" t="s">
        <v>253</v>
      </c>
      <c r="C17" s="88" t="s">
        <v>571</v>
      </c>
      <c r="D17" s="55">
        <v>13101</v>
      </c>
      <c r="E17" s="90">
        <f t="shared" si="1"/>
        <v>3.2433998138282072</v>
      </c>
      <c r="F17" s="89">
        <v>7217</v>
      </c>
      <c r="G17" s="90">
        <f>F17/F$23*100</f>
        <v>1.6958910418791329</v>
      </c>
      <c r="H17" s="91">
        <f t="shared" si="0"/>
        <v>55.087397908556603</v>
      </c>
      <c r="J17" s="14"/>
      <c r="K17" s="290"/>
      <c r="L17" s="292"/>
      <c r="M17" s="292"/>
    </row>
    <row r="18" spans="2:13" ht="17.100000000000001" customHeight="1" x14ac:dyDescent="0.25">
      <c r="B18" s="98" t="s">
        <v>254</v>
      </c>
      <c r="C18" s="88" t="s">
        <v>548</v>
      </c>
      <c r="D18" s="55">
        <v>2211</v>
      </c>
      <c r="E18" s="90">
        <f t="shared" si="1"/>
        <v>0.54737477966370252</v>
      </c>
      <c r="F18" s="89">
        <v>8009</v>
      </c>
      <c r="G18" s="90">
        <f t="shared" ref="G18:G21" si="2">F18/F$23*100</f>
        <v>1.8819996334224713</v>
      </c>
      <c r="H18" s="91">
        <f>F18/D18*100</f>
        <v>362.23428312980548</v>
      </c>
      <c r="J18" s="14"/>
      <c r="K18" s="290"/>
      <c r="L18" s="292"/>
      <c r="M18" s="292"/>
    </row>
    <row r="19" spans="2:13" ht="17.100000000000001" customHeight="1" x14ac:dyDescent="0.25">
      <c r="B19" s="87" t="s">
        <v>255</v>
      </c>
      <c r="C19" s="88" t="s">
        <v>551</v>
      </c>
      <c r="D19" s="55">
        <v>-102</v>
      </c>
      <c r="E19" s="90">
        <f t="shared" si="1"/>
        <v>-2.5252025113386544E-2</v>
      </c>
      <c r="F19" s="89">
        <v>55</v>
      </c>
      <c r="G19" s="90">
        <f t="shared" si="2"/>
        <v>1.2924207746065166E-2</v>
      </c>
      <c r="H19" s="91">
        <f>F19/D19*100</f>
        <v>-53.921568627450981</v>
      </c>
      <c r="J19" s="14"/>
      <c r="K19" s="290"/>
      <c r="L19" s="292"/>
      <c r="M19" s="292"/>
    </row>
    <row r="20" spans="2:13" ht="17.100000000000001" customHeight="1" x14ac:dyDescent="0.25">
      <c r="B20" s="87" t="s">
        <v>256</v>
      </c>
      <c r="C20" s="88" t="s">
        <v>550</v>
      </c>
      <c r="D20" s="55">
        <v>3502</v>
      </c>
      <c r="E20" s="90">
        <f t="shared" si="1"/>
        <v>0.86698619555960477</v>
      </c>
      <c r="F20" s="89">
        <v>414</v>
      </c>
      <c r="G20" s="90">
        <f t="shared" si="2"/>
        <v>9.728403648856325E-2</v>
      </c>
      <c r="H20" s="91">
        <f t="shared" ref="H20:H21" si="3">F20/D20*100</f>
        <v>11.82181610508281</v>
      </c>
      <c r="J20" s="14"/>
      <c r="K20" s="290"/>
      <c r="L20" s="292"/>
      <c r="M20" s="292"/>
    </row>
    <row r="21" spans="2:13" ht="17.100000000000001" customHeight="1" x14ac:dyDescent="0.25">
      <c r="B21" s="87" t="s">
        <v>257</v>
      </c>
      <c r="C21" s="88" t="s">
        <v>549</v>
      </c>
      <c r="D21" s="55">
        <v>10167</v>
      </c>
      <c r="E21" s="90">
        <f t="shared" si="1"/>
        <v>2.5170327385078526</v>
      </c>
      <c r="F21" s="89">
        <v>6660</v>
      </c>
      <c r="G21" s="90">
        <f t="shared" si="2"/>
        <v>1.5650040652508004</v>
      </c>
      <c r="H21" s="91">
        <f t="shared" si="3"/>
        <v>65.506048982000593</v>
      </c>
      <c r="J21" s="14"/>
      <c r="K21" s="290"/>
      <c r="L21" s="292"/>
      <c r="M21" s="292"/>
    </row>
    <row r="22" spans="2:13" ht="15.75" x14ac:dyDescent="0.25">
      <c r="B22" s="450" t="s">
        <v>307</v>
      </c>
      <c r="C22" s="450"/>
      <c r="D22" s="92">
        <f>SUM(D16:D21)</f>
        <v>156475</v>
      </c>
      <c r="E22" s="152">
        <f>D22/D23*100</f>
        <v>38.738339506050586</v>
      </c>
      <c r="F22" s="92">
        <f>SUM(F16:F21)</f>
        <v>162762</v>
      </c>
      <c r="G22" s="152">
        <f>F22/F23*100</f>
        <v>38.24672547572834</v>
      </c>
      <c r="H22" s="93">
        <f t="shared" si="0"/>
        <v>104.01789423230548</v>
      </c>
      <c r="J22" s="14"/>
      <c r="K22" s="290"/>
      <c r="L22" s="291"/>
      <c r="M22" s="291"/>
    </row>
    <row r="23" spans="2:13" ht="15.75" x14ac:dyDescent="0.25">
      <c r="B23" s="450" t="s">
        <v>308</v>
      </c>
      <c r="C23" s="450"/>
      <c r="D23" s="92">
        <f>D14+D22</f>
        <v>403928</v>
      </c>
      <c r="E23" s="93">
        <f>E14+E22</f>
        <v>100</v>
      </c>
      <c r="F23" s="92">
        <f>F14+F22</f>
        <v>425558</v>
      </c>
      <c r="G23" s="93">
        <f>G14+G22</f>
        <v>100</v>
      </c>
      <c r="H23" s="93">
        <f t="shared" si="0"/>
        <v>105.35491473727991</v>
      </c>
      <c r="I23" s="14"/>
      <c r="J23" s="14"/>
      <c r="K23" s="299"/>
      <c r="L23" s="291"/>
      <c r="M23" s="291"/>
    </row>
    <row r="25" spans="2:13" x14ac:dyDescent="0.25">
      <c r="F25" s="14"/>
    </row>
    <row r="26" spans="2:13" x14ac:dyDescent="0.25">
      <c r="D26" s="14"/>
      <c r="F26" s="23"/>
    </row>
    <row r="27" spans="2:13" x14ac:dyDescent="0.25">
      <c r="D27" s="14"/>
    </row>
    <row r="28" spans="2:13" x14ac:dyDescent="0.25">
      <c r="D28" s="14"/>
    </row>
    <row r="29" spans="2:13" x14ac:dyDescent="0.25">
      <c r="D29" s="14"/>
    </row>
  </sheetData>
  <mergeCells count="8">
    <mergeCell ref="B23:C23"/>
    <mergeCell ref="C5:C6"/>
    <mergeCell ref="D5:E5"/>
    <mergeCell ref="F5:G5"/>
    <mergeCell ref="B4:H4"/>
    <mergeCell ref="B5:B6"/>
    <mergeCell ref="B22:C22"/>
    <mergeCell ref="B14:C14"/>
  </mergeCells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E14:F14 E22:F22" 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sheetPr>
    <pageSetUpPr fitToPage="1"/>
  </sheetPr>
  <dimension ref="B3:L23"/>
  <sheetViews>
    <sheetView tabSelected="1" workbookViewId="0">
      <selection activeCell="D10" sqref="D10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5703125" customWidth="1"/>
    <col min="7" max="7" width="11.42578125" customWidth="1"/>
    <col min="8" max="8" width="13.5703125" customWidth="1"/>
  </cols>
  <sheetData>
    <row r="3" spans="2:12" ht="16.5" thickBot="1" x14ac:dyDescent="0.3">
      <c r="B3" s="47"/>
      <c r="C3" s="47"/>
      <c r="D3" s="47"/>
      <c r="E3" s="47"/>
      <c r="F3" s="47"/>
      <c r="G3" s="47"/>
      <c r="H3" s="174" t="s">
        <v>263</v>
      </c>
    </row>
    <row r="4" spans="2:12" ht="24.95" customHeight="1" thickTop="1" x14ac:dyDescent="0.25">
      <c r="B4" s="454" t="s">
        <v>1331</v>
      </c>
      <c r="C4" s="454"/>
      <c r="D4" s="454"/>
      <c r="E4" s="454"/>
      <c r="F4" s="454"/>
      <c r="G4" s="454"/>
      <c r="H4" s="454"/>
    </row>
    <row r="5" spans="2:12" ht="15.95" customHeight="1" x14ac:dyDescent="0.25">
      <c r="B5" s="448" t="s">
        <v>100</v>
      </c>
      <c r="C5" s="450" t="s">
        <v>131</v>
      </c>
      <c r="D5" s="450" t="s">
        <v>608</v>
      </c>
      <c r="E5" s="450"/>
      <c r="F5" s="459" t="s">
        <v>609</v>
      </c>
      <c r="G5" s="459"/>
      <c r="H5" s="148" t="s">
        <v>1</v>
      </c>
    </row>
    <row r="6" spans="2:12" ht="15.95" customHeight="1" x14ac:dyDescent="0.25">
      <c r="B6" s="448"/>
      <c r="C6" s="450"/>
      <c r="D6" s="171" t="s">
        <v>125</v>
      </c>
      <c r="E6" s="84" t="s">
        <v>32</v>
      </c>
      <c r="F6" s="171" t="s">
        <v>127</v>
      </c>
      <c r="G6" s="84" t="s">
        <v>32</v>
      </c>
      <c r="H6" s="148" t="s">
        <v>333</v>
      </c>
    </row>
    <row r="7" spans="2:12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2" ht="15.75" x14ac:dyDescent="0.25">
      <c r="B8" s="95"/>
      <c r="C8" s="122" t="s">
        <v>364</v>
      </c>
      <c r="D8" s="168"/>
      <c r="E8" s="122"/>
      <c r="F8" s="168"/>
      <c r="G8" s="119"/>
      <c r="H8" s="119"/>
      <c r="J8" s="14"/>
    </row>
    <row r="9" spans="2:12" ht="15.75" x14ac:dyDescent="0.25">
      <c r="B9" s="87" t="s">
        <v>247</v>
      </c>
      <c r="C9" s="88" t="s">
        <v>23</v>
      </c>
      <c r="D9" s="55">
        <v>20865</v>
      </c>
      <c r="E9" s="90">
        <f>D9/D$21*100</f>
        <v>9.2866648566608951</v>
      </c>
      <c r="F9" s="89">
        <v>28471</v>
      </c>
      <c r="G9" s="90">
        <f>F9/F$21*100</f>
        <v>10.460164961331447</v>
      </c>
      <c r="H9" s="91">
        <f>F9/D9*100</f>
        <v>136.45339084591421</v>
      </c>
      <c r="J9" s="14"/>
      <c r="K9" s="290"/>
      <c r="L9" s="293"/>
    </row>
    <row r="10" spans="2:12" ht="15.75" x14ac:dyDescent="0.25">
      <c r="B10" s="87" t="s">
        <v>248</v>
      </c>
      <c r="C10" s="88" t="s">
        <v>572</v>
      </c>
      <c r="D10" s="55">
        <v>3225</v>
      </c>
      <c r="E10" s="90">
        <f t="shared" ref="E10:E12" si="0">D10/D$21*100</f>
        <v>1.4353939210511089</v>
      </c>
      <c r="F10" s="89">
        <v>8502</v>
      </c>
      <c r="G10" s="90">
        <f t="shared" ref="G10:G12" si="1">F10/F$21*100</f>
        <v>3.1236107794331063</v>
      </c>
      <c r="H10" s="91">
        <f>F10/D10*100</f>
        <v>263.62790697674416</v>
      </c>
      <c r="J10" s="14"/>
      <c r="K10" s="290"/>
      <c r="L10" s="293"/>
    </row>
    <row r="11" spans="2:12" ht="15.75" x14ac:dyDescent="0.25">
      <c r="B11" s="87" t="s">
        <v>249</v>
      </c>
      <c r="C11" s="88" t="s">
        <v>573</v>
      </c>
      <c r="D11" s="55">
        <v>2365</v>
      </c>
      <c r="E11" s="90">
        <f t="shared" si="0"/>
        <v>1.0526222087708133</v>
      </c>
      <c r="F11" s="89">
        <v>3032</v>
      </c>
      <c r="G11" s="90">
        <f t="shared" si="1"/>
        <v>1.1139482337380826</v>
      </c>
      <c r="H11" s="91">
        <f>F11/D11*100</f>
        <v>128.2029598308668</v>
      </c>
      <c r="J11" s="14"/>
      <c r="K11" s="290"/>
      <c r="L11" s="293"/>
    </row>
    <row r="12" spans="2:12" ht="15.75" x14ac:dyDescent="0.25">
      <c r="B12" s="87" t="s">
        <v>250</v>
      </c>
      <c r="C12" s="88" t="s">
        <v>365</v>
      </c>
      <c r="D12" s="55">
        <v>1086</v>
      </c>
      <c r="E12" s="90">
        <f t="shared" si="0"/>
        <v>0.48336055760046642</v>
      </c>
      <c r="F12" s="89">
        <v>1693</v>
      </c>
      <c r="G12" s="90">
        <f t="shared" si="1"/>
        <v>0.62200341679372484</v>
      </c>
      <c r="H12" s="91">
        <f>F12/D12*100</f>
        <v>155.89318600368324</v>
      </c>
      <c r="J12" s="14"/>
      <c r="K12" s="290"/>
      <c r="L12" s="293"/>
    </row>
    <row r="13" spans="2:12" ht="15.75" x14ac:dyDescent="0.25">
      <c r="B13" s="450" t="s">
        <v>129</v>
      </c>
      <c r="C13" s="450"/>
      <c r="D13" s="172">
        <f>SUM(D9:D12)</f>
        <v>27541</v>
      </c>
      <c r="E13" s="152">
        <f>D13/D21*100</f>
        <v>12.258041544083284</v>
      </c>
      <c r="F13" s="92">
        <f>SUM(F9:F12)</f>
        <v>41698</v>
      </c>
      <c r="G13" s="152">
        <f>F13/F21*100</f>
        <v>15.319727391296361</v>
      </c>
      <c r="H13" s="93">
        <f>F13/D13*100</f>
        <v>151.40336225990342</v>
      </c>
      <c r="J13" s="14"/>
      <c r="K13" s="290"/>
      <c r="L13" s="293"/>
    </row>
    <row r="14" spans="2:12" ht="15.75" x14ac:dyDescent="0.25">
      <c r="B14" s="95"/>
      <c r="C14" s="122" t="s">
        <v>540</v>
      </c>
      <c r="D14" s="173"/>
      <c r="E14" s="90"/>
      <c r="F14" s="130"/>
      <c r="G14" s="90"/>
      <c r="H14" s="91"/>
      <c r="J14" s="14"/>
      <c r="K14" s="460"/>
      <c r="L14" s="460"/>
    </row>
    <row r="15" spans="2:12" ht="17.25" customHeight="1" x14ac:dyDescent="0.25">
      <c r="B15" s="87" t="s">
        <v>251</v>
      </c>
      <c r="C15" s="88" t="s">
        <v>541</v>
      </c>
      <c r="D15" s="55">
        <v>1802</v>
      </c>
      <c r="E15" s="90">
        <f>D15/D21*100</f>
        <v>0.8020402622431313</v>
      </c>
      <c r="F15" s="89">
        <v>11117</v>
      </c>
      <c r="G15" s="90">
        <f>F15/F21*100</f>
        <v>4.0843543913147311</v>
      </c>
      <c r="H15" s="91">
        <f t="shared" ref="H15:H21" si="2">F15/D15*100</f>
        <v>616.92563817980022</v>
      </c>
      <c r="J15" s="14"/>
      <c r="K15" s="290"/>
      <c r="L15" s="293"/>
    </row>
    <row r="16" spans="2:12" ht="15.75" x14ac:dyDescent="0.25">
      <c r="B16" s="87" t="s">
        <v>252</v>
      </c>
      <c r="C16" s="88" t="s">
        <v>539</v>
      </c>
      <c r="D16" s="55">
        <v>27651</v>
      </c>
      <c r="E16" s="90">
        <f>D16/D$21*100</f>
        <v>12.307000716584252</v>
      </c>
      <c r="F16" s="89">
        <v>38811</v>
      </c>
      <c r="G16" s="90">
        <f>F16/F$21*100</f>
        <v>14.259051747892059</v>
      </c>
      <c r="H16" s="91">
        <f t="shared" si="2"/>
        <v>140.36020397092329</v>
      </c>
      <c r="J16" s="14"/>
      <c r="K16" s="290"/>
      <c r="L16" s="293"/>
    </row>
    <row r="17" spans="2:12" ht="15.75" x14ac:dyDescent="0.25">
      <c r="B17" s="87" t="s">
        <v>253</v>
      </c>
      <c r="C17" s="88" t="s">
        <v>542</v>
      </c>
      <c r="D17" s="55">
        <v>75133</v>
      </c>
      <c r="E17" s="90">
        <f>D17/D$21*100</f>
        <v>33.440450068320295</v>
      </c>
      <c r="F17" s="89">
        <v>80331</v>
      </c>
      <c r="G17" s="90">
        <f>F17/F$21*100</f>
        <v>29.513382442089021</v>
      </c>
      <c r="H17" s="91">
        <f t="shared" si="2"/>
        <v>106.91839804080763</v>
      </c>
      <c r="J17" s="14"/>
      <c r="K17" s="290"/>
      <c r="L17" s="293"/>
    </row>
    <row r="18" spans="2:12" ht="15.75" x14ac:dyDescent="0.25">
      <c r="B18" s="87" t="s">
        <v>254</v>
      </c>
      <c r="C18" s="88" t="s">
        <v>407</v>
      </c>
      <c r="D18" s="55">
        <v>18009</v>
      </c>
      <c r="E18" s="90">
        <f>D18/D$21*100</f>
        <v>8.0155067051812168</v>
      </c>
      <c r="F18" s="89">
        <v>19255</v>
      </c>
      <c r="G18" s="90">
        <f>F18/F$21*100</f>
        <v>7.0742325991513129</v>
      </c>
      <c r="H18" s="91">
        <f t="shared" si="2"/>
        <v>106.91876284080182</v>
      </c>
      <c r="J18" s="14"/>
      <c r="K18" s="290"/>
      <c r="L18" s="293"/>
    </row>
    <row r="19" spans="2:12" ht="15.75" x14ac:dyDescent="0.25">
      <c r="B19" s="87" t="s">
        <v>255</v>
      </c>
      <c r="C19" s="88" t="s">
        <v>543</v>
      </c>
      <c r="D19" s="55">
        <v>74541</v>
      </c>
      <c r="E19" s="90">
        <f>D19/D$21*100</f>
        <v>33.176960703587817</v>
      </c>
      <c r="F19" s="89">
        <v>80973</v>
      </c>
      <c r="G19" s="90">
        <f>F19/F$21*100</f>
        <v>29.749251428256517</v>
      </c>
      <c r="H19" s="91">
        <f t="shared" si="2"/>
        <v>108.62880830683785</v>
      </c>
      <c r="J19" s="14"/>
      <c r="K19" s="290"/>
      <c r="L19" s="293"/>
    </row>
    <row r="20" spans="2:12" ht="15.75" x14ac:dyDescent="0.25">
      <c r="B20" s="450" t="s">
        <v>130</v>
      </c>
      <c r="C20" s="450"/>
      <c r="D20" s="128">
        <f>SUM(D15:D19)</f>
        <v>197136</v>
      </c>
      <c r="E20" s="152">
        <f>D20/D21*100</f>
        <v>87.741958455916716</v>
      </c>
      <c r="F20" s="92">
        <f>SUM(F15:F19)</f>
        <v>230487</v>
      </c>
      <c r="G20" s="152">
        <f>F20/F21*100</f>
        <v>84.680272608703646</v>
      </c>
      <c r="H20" s="93">
        <f t="shared" si="2"/>
        <v>116.91776235695156</v>
      </c>
      <c r="J20" s="14"/>
      <c r="K20" s="290"/>
      <c r="L20" s="293"/>
    </row>
    <row r="21" spans="2:12" ht="15.75" x14ac:dyDescent="0.25">
      <c r="B21" s="450" t="s">
        <v>133</v>
      </c>
      <c r="C21" s="450"/>
      <c r="D21" s="128">
        <f>D13+D20</f>
        <v>224677</v>
      </c>
      <c r="E21" s="93">
        <f>E13+E20</f>
        <v>100</v>
      </c>
      <c r="F21" s="92">
        <f>F13+F20</f>
        <v>272185</v>
      </c>
      <c r="G21" s="93">
        <f>G13+G20</f>
        <v>100</v>
      </c>
      <c r="H21" s="93">
        <f t="shared" si="2"/>
        <v>121.14502151978172</v>
      </c>
      <c r="J21" s="14"/>
      <c r="K21" s="290"/>
      <c r="L21" s="293"/>
    </row>
    <row r="23" spans="2:12" x14ac:dyDescent="0.25">
      <c r="F23" s="14"/>
    </row>
  </sheetData>
  <mergeCells count="9">
    <mergeCell ref="K14:L14"/>
    <mergeCell ref="B21:C21"/>
    <mergeCell ref="C5:C6"/>
    <mergeCell ref="D5:E5"/>
    <mergeCell ref="F5:G5"/>
    <mergeCell ref="B4:H4"/>
    <mergeCell ref="B5:B6"/>
    <mergeCell ref="B13:C13"/>
    <mergeCell ref="B20:C20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E13:F13 E20:F20" formula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I21"/>
  <sheetViews>
    <sheetView workbookViewId="0"/>
  </sheetViews>
  <sheetFormatPr defaultRowHeight="15" x14ac:dyDescent="0.25"/>
  <cols>
    <col min="2" max="2" width="7.7109375" customWidth="1"/>
    <col min="3" max="3" width="65.28515625" customWidth="1"/>
    <col min="4" max="4" width="17.5703125" customWidth="1"/>
    <col min="5" max="5" width="18.140625" customWidth="1"/>
    <col min="7" max="7" width="10.140625" bestFit="1" customWidth="1"/>
    <col min="8" max="8" width="12.5703125" customWidth="1"/>
  </cols>
  <sheetData>
    <row r="2" spans="2:9" ht="15.75" x14ac:dyDescent="0.25">
      <c r="C2" s="9"/>
      <c r="D2" s="4"/>
      <c r="E2" s="10"/>
    </row>
    <row r="3" spans="2:9" ht="16.5" thickBot="1" x14ac:dyDescent="0.3">
      <c r="B3" s="47"/>
      <c r="C3" s="47"/>
      <c r="D3" s="47"/>
      <c r="E3" s="78" t="s">
        <v>505</v>
      </c>
    </row>
    <row r="4" spans="2:9" ht="24.95" customHeight="1" thickTop="1" x14ac:dyDescent="0.25">
      <c r="B4" s="454" t="s">
        <v>1332</v>
      </c>
      <c r="C4" s="454"/>
      <c r="D4" s="454"/>
      <c r="E4" s="454"/>
    </row>
    <row r="5" spans="2:9" ht="20.100000000000001" customHeight="1" x14ac:dyDescent="0.25">
      <c r="B5" s="118" t="s">
        <v>100</v>
      </c>
      <c r="C5" s="84" t="s">
        <v>56</v>
      </c>
      <c r="D5" s="84" t="s">
        <v>605</v>
      </c>
      <c r="E5" s="84" t="s">
        <v>602</v>
      </c>
    </row>
    <row r="6" spans="2:9" s="33" customFormat="1" ht="15.75" customHeight="1" x14ac:dyDescent="0.2">
      <c r="B6" s="85">
        <v>1</v>
      </c>
      <c r="C6" s="86">
        <v>2</v>
      </c>
      <c r="D6" s="155">
        <v>3</v>
      </c>
      <c r="E6" s="86">
        <v>4</v>
      </c>
    </row>
    <row r="7" spans="2:9" ht="15.75" x14ac:dyDescent="0.25">
      <c r="B7" s="87" t="s">
        <v>247</v>
      </c>
      <c r="C7" s="88" t="s">
        <v>122</v>
      </c>
      <c r="D7" s="55">
        <v>174349</v>
      </c>
      <c r="E7" s="89">
        <v>147888</v>
      </c>
      <c r="G7" s="14"/>
      <c r="H7" s="25"/>
      <c r="I7" s="14"/>
    </row>
    <row r="8" spans="2:9" ht="15.75" x14ac:dyDescent="0.25">
      <c r="B8" s="87" t="s">
        <v>248</v>
      </c>
      <c r="C8" s="88" t="s">
        <v>239</v>
      </c>
      <c r="D8" s="55">
        <v>28966832</v>
      </c>
      <c r="E8" s="89">
        <v>32096413</v>
      </c>
      <c r="G8" s="14"/>
      <c r="H8" s="25"/>
      <c r="I8" s="14"/>
    </row>
    <row r="9" spans="2:9" ht="15.75" x14ac:dyDescent="0.25">
      <c r="B9" s="87" t="s">
        <v>249</v>
      </c>
      <c r="C9" s="88" t="s">
        <v>240</v>
      </c>
      <c r="D9" s="55">
        <v>3692719</v>
      </c>
      <c r="E9" s="89">
        <v>4211796</v>
      </c>
      <c r="G9" s="14"/>
      <c r="H9" s="25"/>
      <c r="I9" s="14"/>
    </row>
    <row r="10" spans="2:9" ht="15.75" x14ac:dyDescent="0.25">
      <c r="B10" s="87" t="s">
        <v>250</v>
      </c>
      <c r="C10" s="88" t="s">
        <v>241</v>
      </c>
      <c r="D10" s="55">
        <v>219912</v>
      </c>
      <c r="E10" s="89">
        <v>221098</v>
      </c>
      <c r="G10" s="14"/>
      <c r="H10" s="25"/>
      <c r="I10" s="25"/>
    </row>
    <row r="11" spans="2:9" ht="15.75" x14ac:dyDescent="0.25">
      <c r="B11" s="87" t="s">
        <v>251</v>
      </c>
      <c r="C11" s="88" t="s">
        <v>552</v>
      </c>
      <c r="D11" s="55">
        <v>99945</v>
      </c>
      <c r="E11" s="89">
        <v>101596</v>
      </c>
      <c r="G11" s="14"/>
      <c r="H11" s="25"/>
      <c r="I11" s="14"/>
    </row>
    <row r="12" spans="2:9" ht="15.75" x14ac:dyDescent="0.25">
      <c r="B12" s="87" t="s">
        <v>252</v>
      </c>
      <c r="C12" s="88" t="s">
        <v>555</v>
      </c>
      <c r="D12" s="55">
        <v>211769</v>
      </c>
      <c r="E12" s="89">
        <v>203258</v>
      </c>
      <c r="G12" s="14"/>
      <c r="H12" s="25"/>
      <c r="I12" s="14"/>
    </row>
    <row r="13" spans="2:9" ht="15.75" x14ac:dyDescent="0.25">
      <c r="B13" s="87" t="s">
        <v>253</v>
      </c>
      <c r="C13" s="88" t="s">
        <v>554</v>
      </c>
      <c r="D13" s="55">
        <v>338388</v>
      </c>
      <c r="E13" s="89">
        <v>337715</v>
      </c>
      <c r="G13" s="14"/>
      <c r="H13" s="25"/>
      <c r="I13" s="14"/>
    </row>
    <row r="14" spans="2:9" ht="15.75" x14ac:dyDescent="0.25">
      <c r="B14" s="87" t="s">
        <v>254</v>
      </c>
      <c r="C14" s="88" t="s">
        <v>553</v>
      </c>
      <c r="D14" s="55">
        <v>137763</v>
      </c>
      <c r="E14" s="89">
        <v>147067</v>
      </c>
      <c r="G14" s="14"/>
      <c r="H14" s="25"/>
      <c r="I14" s="14"/>
    </row>
    <row r="15" spans="2:9" ht="15.75" x14ac:dyDescent="0.25">
      <c r="B15" s="87" t="s">
        <v>558</v>
      </c>
      <c r="C15" s="88" t="s">
        <v>198</v>
      </c>
      <c r="D15" s="55">
        <v>167683</v>
      </c>
      <c r="E15" s="89">
        <v>180559</v>
      </c>
      <c r="G15" s="14"/>
      <c r="H15" s="25"/>
      <c r="I15" s="14"/>
    </row>
    <row r="16" spans="2:9" ht="15.75" x14ac:dyDescent="0.25">
      <c r="B16" s="87" t="s">
        <v>256</v>
      </c>
      <c r="C16" s="88" t="s">
        <v>242</v>
      </c>
      <c r="D16" s="253">
        <f>D7/D8*100</f>
        <v>0.60189184650913841</v>
      </c>
      <c r="E16" s="300">
        <f>E7/E8*100</f>
        <v>0.4607617679894635</v>
      </c>
      <c r="G16" s="25"/>
    </row>
    <row r="17" spans="2:7" ht="15.75" x14ac:dyDescent="0.25">
      <c r="B17" s="87" t="s">
        <v>257</v>
      </c>
      <c r="C17" s="88" t="s">
        <v>243</v>
      </c>
      <c r="D17" s="253">
        <f>D7/D9*100</f>
        <v>4.7214261361343768</v>
      </c>
      <c r="E17" s="300">
        <f>E7/E9*100</f>
        <v>3.5112811731622324</v>
      </c>
      <c r="G17" s="25"/>
    </row>
    <row r="18" spans="2:7" ht="15.75" x14ac:dyDescent="0.25">
      <c r="B18" s="87" t="s">
        <v>258</v>
      </c>
      <c r="C18" s="88" t="s">
        <v>578</v>
      </c>
      <c r="D18" s="253">
        <f>D12/D8*100</f>
        <v>0.73107407810422631</v>
      </c>
      <c r="E18" s="300">
        <f>E12/E8*100</f>
        <v>0.63327325704588855</v>
      </c>
      <c r="G18" s="25"/>
    </row>
    <row r="19" spans="2:7" ht="18.75" customHeight="1" x14ac:dyDescent="0.25">
      <c r="B19" s="87" t="s">
        <v>259</v>
      </c>
      <c r="C19" s="88" t="s">
        <v>579</v>
      </c>
      <c r="D19" s="269">
        <f>D10/D13*100</f>
        <v>64.988120146104464</v>
      </c>
      <c r="E19" s="300">
        <f>E10/E13*100</f>
        <v>65.468812460210529</v>
      </c>
      <c r="G19" s="25"/>
    </row>
    <row r="20" spans="2:7" ht="15.75" x14ac:dyDescent="0.25">
      <c r="B20" s="87" t="s">
        <v>260</v>
      </c>
      <c r="C20" s="88" t="s">
        <v>556</v>
      </c>
      <c r="D20" s="269">
        <f>D15/D13*100</f>
        <v>49.553471163280022</v>
      </c>
      <c r="E20" s="269">
        <f>E15/E13*100</f>
        <v>53.46490383903587</v>
      </c>
      <c r="G20" s="25"/>
    </row>
    <row r="21" spans="2:7" x14ac:dyDescent="0.25">
      <c r="C21" s="175" t="s">
        <v>557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2509-8C43-43C3-AD28-C732D234D12A}">
  <dimension ref="B3:M22"/>
  <sheetViews>
    <sheetView workbookViewId="0"/>
  </sheetViews>
  <sheetFormatPr defaultRowHeight="15" x14ac:dyDescent="0.25"/>
  <cols>
    <col min="2" max="2" width="5.28515625" customWidth="1"/>
    <col min="3" max="3" width="38.28515625" customWidth="1"/>
  </cols>
  <sheetData>
    <row r="3" spans="2:13" ht="15.75" thickBot="1" x14ac:dyDescent="0.3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51" t="s">
        <v>380</v>
      </c>
    </row>
    <row r="4" spans="2:13" ht="16.5" customHeight="1" thickTop="1" x14ac:dyDescent="0.25">
      <c r="B4" s="454" t="s">
        <v>1333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</row>
    <row r="5" spans="2:13" ht="15.75" x14ac:dyDescent="0.25">
      <c r="B5" s="443" t="s">
        <v>100</v>
      </c>
      <c r="C5" s="443" t="s">
        <v>56</v>
      </c>
      <c r="D5" s="443" t="s">
        <v>994</v>
      </c>
      <c r="E5" s="443"/>
      <c r="F5" s="443" t="s">
        <v>995</v>
      </c>
      <c r="G5" s="443"/>
      <c r="H5" s="443" t="s">
        <v>996</v>
      </c>
      <c r="I5" s="443"/>
      <c r="J5" s="443" t="s">
        <v>605</v>
      </c>
      <c r="K5" s="443"/>
      <c r="L5" s="443" t="s">
        <v>602</v>
      </c>
      <c r="M5" s="443"/>
    </row>
    <row r="6" spans="2:13" ht="15.75" x14ac:dyDescent="0.25">
      <c r="B6" s="443"/>
      <c r="C6" s="443"/>
      <c r="D6" s="50" t="s">
        <v>983</v>
      </c>
      <c r="E6" s="50" t="s">
        <v>984</v>
      </c>
      <c r="F6" s="50" t="s">
        <v>983</v>
      </c>
      <c r="G6" s="50" t="s">
        <v>984</v>
      </c>
      <c r="H6" s="50" t="s">
        <v>983</v>
      </c>
      <c r="I6" s="50" t="s">
        <v>984</v>
      </c>
      <c r="J6" s="50" t="s">
        <v>983</v>
      </c>
      <c r="K6" s="50" t="s">
        <v>984</v>
      </c>
      <c r="L6" s="50" t="s">
        <v>983</v>
      </c>
      <c r="M6" s="50" t="s">
        <v>984</v>
      </c>
    </row>
    <row r="7" spans="2:13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8">
        <v>8</v>
      </c>
      <c r="J7" s="48">
        <v>9</v>
      </c>
      <c r="K7" s="48">
        <v>10</v>
      </c>
      <c r="L7" s="48">
        <v>11</v>
      </c>
      <c r="M7" s="48">
        <v>12</v>
      </c>
    </row>
    <row r="8" spans="2:13" ht="31.5" x14ac:dyDescent="0.25">
      <c r="B8" s="140" t="s">
        <v>247</v>
      </c>
      <c r="C8" s="51" t="s">
        <v>985</v>
      </c>
      <c r="D8" s="352">
        <v>2.12</v>
      </c>
      <c r="E8" s="352">
        <v>2.39</v>
      </c>
      <c r="F8" s="352">
        <v>2.0099999999999998</v>
      </c>
      <c r="G8" s="352">
        <v>2.25</v>
      </c>
      <c r="H8" s="352">
        <v>2.1800000000000002</v>
      </c>
      <c r="I8" s="352">
        <v>2.41</v>
      </c>
      <c r="J8" s="352">
        <v>2.16</v>
      </c>
      <c r="K8" s="352">
        <v>2.4300000000000002</v>
      </c>
      <c r="L8" s="352">
        <v>2.2069932075085701</v>
      </c>
      <c r="M8" s="352">
        <v>2.48227559826105</v>
      </c>
    </row>
    <row r="9" spans="2:13" ht="15.75" x14ac:dyDescent="0.25">
      <c r="B9" s="52" t="s">
        <v>58</v>
      </c>
      <c r="C9" s="53" t="s">
        <v>986</v>
      </c>
      <c r="D9" s="353">
        <v>2.0699999999999998</v>
      </c>
      <c r="E9" s="353">
        <v>2.29</v>
      </c>
      <c r="F9" s="353">
        <v>1.97</v>
      </c>
      <c r="G9" s="353">
        <v>2.17</v>
      </c>
      <c r="H9" s="353">
        <v>1.96</v>
      </c>
      <c r="I9" s="353">
        <v>2.16</v>
      </c>
      <c r="J9" s="353">
        <v>2.04</v>
      </c>
      <c r="K9" s="353">
        <v>2.2799999999999998</v>
      </c>
      <c r="L9" s="353">
        <v>2.1467255970044001</v>
      </c>
      <c r="M9" s="353">
        <v>2.4095603517226998</v>
      </c>
    </row>
    <row r="10" spans="2:13" ht="15.75" x14ac:dyDescent="0.25">
      <c r="B10" s="52" t="s">
        <v>88</v>
      </c>
      <c r="C10" s="53" t="s">
        <v>987</v>
      </c>
      <c r="D10" s="353">
        <v>8.3800000000000008</v>
      </c>
      <c r="E10" s="353">
        <v>14.44</v>
      </c>
      <c r="F10" s="353">
        <v>7.88</v>
      </c>
      <c r="G10" s="353">
        <v>13.65</v>
      </c>
      <c r="H10" s="353">
        <v>7.51</v>
      </c>
      <c r="I10" s="353">
        <v>12.39</v>
      </c>
      <c r="J10" s="353">
        <v>8.0500000000000007</v>
      </c>
      <c r="K10" s="353">
        <v>13.07</v>
      </c>
      <c r="L10" s="353">
        <v>7.8108361527308103</v>
      </c>
      <c r="M10" s="353">
        <v>12.4505570323828</v>
      </c>
    </row>
    <row r="11" spans="2:13" ht="15.75" x14ac:dyDescent="0.25">
      <c r="B11" s="52" t="s">
        <v>274</v>
      </c>
      <c r="C11" s="53" t="s">
        <v>46</v>
      </c>
      <c r="D11" s="353">
        <v>2.2400000000000002</v>
      </c>
      <c r="E11" s="353">
        <v>2.33</v>
      </c>
      <c r="F11" s="353">
        <v>2.08</v>
      </c>
      <c r="G11" s="353">
        <v>2.42</v>
      </c>
      <c r="H11" s="353">
        <v>5.36</v>
      </c>
      <c r="I11" s="353">
        <v>5.69</v>
      </c>
      <c r="J11" s="353">
        <v>5.54</v>
      </c>
      <c r="K11" s="353">
        <v>5.83</v>
      </c>
      <c r="L11" s="353">
        <v>2.7921381502379501</v>
      </c>
      <c r="M11" s="353">
        <v>2.9752449253144602</v>
      </c>
    </row>
    <row r="12" spans="2:13" ht="31.5" x14ac:dyDescent="0.25">
      <c r="B12" s="140" t="s">
        <v>248</v>
      </c>
      <c r="C12" s="51" t="s">
        <v>988</v>
      </c>
      <c r="D12" s="352">
        <v>4.7300000000000004</v>
      </c>
      <c r="E12" s="352">
        <v>5.64</v>
      </c>
      <c r="F12" s="352">
        <v>4.2</v>
      </c>
      <c r="G12" s="352">
        <v>4.9800000000000004</v>
      </c>
      <c r="H12" s="352">
        <v>4.55</v>
      </c>
      <c r="I12" s="352">
        <v>5.51</v>
      </c>
      <c r="J12" s="352">
        <v>4.49</v>
      </c>
      <c r="K12" s="352">
        <v>5.35</v>
      </c>
      <c r="L12" s="352">
        <v>4.3719279640637296</v>
      </c>
      <c r="M12" s="352">
        <v>5.2191909442692896</v>
      </c>
    </row>
    <row r="13" spans="2:13" ht="15.75" x14ac:dyDescent="0.25">
      <c r="B13" s="52" t="s">
        <v>277</v>
      </c>
      <c r="C13" s="53" t="s">
        <v>986</v>
      </c>
      <c r="D13" s="353">
        <v>3.56</v>
      </c>
      <c r="E13" s="353">
        <v>3.82</v>
      </c>
      <c r="F13" s="353">
        <v>3.33</v>
      </c>
      <c r="G13" s="353">
        <v>3.59</v>
      </c>
      <c r="H13" s="353">
        <v>3.75</v>
      </c>
      <c r="I13" s="353">
        <v>3.99</v>
      </c>
      <c r="J13" s="353">
        <v>3.61</v>
      </c>
      <c r="K13" s="353">
        <v>3.8</v>
      </c>
      <c r="L13" s="353">
        <v>3.4786690457031999</v>
      </c>
      <c r="M13" s="353">
        <v>3.7076728715051002</v>
      </c>
    </row>
    <row r="14" spans="2:13" ht="15.75" x14ac:dyDescent="0.25">
      <c r="B14" s="52" t="s">
        <v>278</v>
      </c>
      <c r="C14" s="53" t="s">
        <v>987</v>
      </c>
      <c r="D14" s="353">
        <v>5.49</v>
      </c>
      <c r="E14" s="353">
        <v>6.82</v>
      </c>
      <c r="F14" s="353">
        <v>4.78</v>
      </c>
      <c r="G14" s="353">
        <v>5.91</v>
      </c>
      <c r="H14" s="353">
        <v>5.01</v>
      </c>
      <c r="I14" s="353">
        <v>6.38</v>
      </c>
      <c r="J14" s="353">
        <v>5.23</v>
      </c>
      <c r="K14" s="353">
        <v>6.67</v>
      </c>
      <c r="L14" s="353">
        <v>5.0472487133121202</v>
      </c>
      <c r="M14" s="353">
        <v>6.3767437913318199</v>
      </c>
    </row>
    <row r="15" spans="2:13" ht="15.75" x14ac:dyDescent="0.25">
      <c r="B15" s="52" t="s">
        <v>279</v>
      </c>
      <c r="C15" s="53" t="s">
        <v>46</v>
      </c>
      <c r="D15" s="353">
        <v>4.21</v>
      </c>
      <c r="E15" s="353">
        <v>4.92</v>
      </c>
      <c r="F15" s="353">
        <v>2.46</v>
      </c>
      <c r="G15" s="353">
        <v>2.6</v>
      </c>
      <c r="H15" s="353">
        <v>4.22</v>
      </c>
      <c r="I15" s="353">
        <v>4.99</v>
      </c>
      <c r="J15" s="353">
        <v>4.17</v>
      </c>
      <c r="K15" s="353">
        <v>4.38</v>
      </c>
      <c r="L15" s="353">
        <v>4.2000223646438197</v>
      </c>
      <c r="M15" s="353">
        <v>4.48713465518391</v>
      </c>
    </row>
    <row r="16" spans="2:13" ht="20.25" customHeight="1" x14ac:dyDescent="0.25">
      <c r="B16" s="140" t="s">
        <v>249</v>
      </c>
      <c r="C16" s="51" t="s">
        <v>989</v>
      </c>
      <c r="D16" s="352">
        <v>3.3</v>
      </c>
      <c r="E16" s="352">
        <v>3.85</v>
      </c>
      <c r="F16" s="352">
        <v>3.08</v>
      </c>
      <c r="G16" s="352">
        <v>3.59</v>
      </c>
      <c r="H16" s="352">
        <v>3.17</v>
      </c>
      <c r="I16" s="352">
        <v>3.71</v>
      </c>
      <c r="J16" s="352">
        <v>3.17</v>
      </c>
      <c r="K16" s="352">
        <v>3.69</v>
      </c>
      <c r="L16" s="352">
        <v>3.1370163556582402</v>
      </c>
      <c r="M16" s="352">
        <v>3.6580129356595901</v>
      </c>
    </row>
    <row r="17" spans="2:13" ht="15.75" x14ac:dyDescent="0.25">
      <c r="B17" s="52" t="s">
        <v>990</v>
      </c>
      <c r="C17" s="53" t="s">
        <v>986</v>
      </c>
      <c r="D17" s="353">
        <v>2.44</v>
      </c>
      <c r="E17" s="353">
        <v>2.67</v>
      </c>
      <c r="F17" s="353">
        <v>2.35</v>
      </c>
      <c r="G17" s="353">
        <v>2.57</v>
      </c>
      <c r="H17" s="353">
        <v>2.33</v>
      </c>
      <c r="I17" s="353">
        <v>2.54</v>
      </c>
      <c r="J17" s="353">
        <v>2.4500000000000002</v>
      </c>
      <c r="K17" s="353">
        <v>2.68</v>
      </c>
      <c r="L17" s="353">
        <v>2.4830668583736299</v>
      </c>
      <c r="M17" s="353">
        <v>2.7373586548183302</v>
      </c>
    </row>
    <row r="18" spans="2:13" ht="15.75" x14ac:dyDescent="0.25">
      <c r="B18" s="52" t="s">
        <v>991</v>
      </c>
      <c r="C18" s="53" t="s">
        <v>987</v>
      </c>
      <c r="D18" s="353">
        <v>5.53</v>
      </c>
      <c r="E18" s="353">
        <v>6.93</v>
      </c>
      <c r="F18" s="353">
        <v>4.8099999999999996</v>
      </c>
      <c r="G18" s="353">
        <v>5.99</v>
      </c>
      <c r="H18" s="353">
        <v>5.04</v>
      </c>
      <c r="I18" s="353">
        <v>6.45</v>
      </c>
      <c r="J18" s="353">
        <v>5.26</v>
      </c>
      <c r="K18" s="353">
        <v>6.74</v>
      </c>
      <c r="L18" s="353">
        <v>5.0726531081478399</v>
      </c>
      <c r="M18" s="353">
        <v>6.4325775773496598</v>
      </c>
    </row>
    <row r="19" spans="2:13" ht="15.75" x14ac:dyDescent="0.25">
      <c r="B19" s="52" t="s">
        <v>992</v>
      </c>
      <c r="C19" s="53" t="s">
        <v>46</v>
      </c>
      <c r="D19" s="353">
        <v>2.82</v>
      </c>
      <c r="E19" s="353">
        <v>3.09</v>
      </c>
      <c r="F19" s="353">
        <v>2.14</v>
      </c>
      <c r="G19" s="353">
        <v>2.44</v>
      </c>
      <c r="H19" s="353">
        <v>4.96</v>
      </c>
      <c r="I19" s="353">
        <v>5.45</v>
      </c>
      <c r="J19" s="353">
        <v>5.17</v>
      </c>
      <c r="K19" s="353">
        <v>5.44</v>
      </c>
      <c r="L19" s="353">
        <v>3.06504797893195</v>
      </c>
      <c r="M19" s="353">
        <v>3.2683155933146701</v>
      </c>
    </row>
    <row r="20" spans="2:13" ht="30" customHeight="1" x14ac:dyDescent="0.25">
      <c r="B20" s="461" t="s">
        <v>993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</row>
    <row r="21" spans="2:13" x14ac:dyDescent="0.25">
      <c r="B21" s="404" t="s">
        <v>1099</v>
      </c>
      <c r="C21" s="33"/>
    </row>
    <row r="22" spans="2:13" x14ac:dyDescent="0.25">
      <c r="B22" s="63" t="s">
        <v>1100</v>
      </c>
      <c r="C22" s="33"/>
    </row>
  </sheetData>
  <mergeCells count="9">
    <mergeCell ref="B20:M20"/>
    <mergeCell ref="L5:M5"/>
    <mergeCell ref="B4:M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8B40-D9BA-4E9D-9A60-6F7DA96972B2}">
  <dimension ref="B3:R22"/>
  <sheetViews>
    <sheetView workbookViewId="0"/>
  </sheetViews>
  <sheetFormatPr defaultRowHeight="15" x14ac:dyDescent="0.25"/>
  <cols>
    <col min="3" max="3" width="28" customWidth="1"/>
  </cols>
  <sheetData>
    <row r="3" spans="2:18" ht="15.75" thickBot="1" x14ac:dyDescent="0.3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51" t="s">
        <v>380</v>
      </c>
    </row>
    <row r="4" spans="2:18" ht="16.5" thickTop="1" x14ac:dyDescent="0.25">
      <c r="B4" s="454" t="s">
        <v>1334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</row>
    <row r="5" spans="2:18" ht="15.75" x14ac:dyDescent="0.25">
      <c r="B5" s="443" t="s">
        <v>100</v>
      </c>
      <c r="C5" s="443" t="s">
        <v>56</v>
      </c>
      <c r="D5" s="443" t="s">
        <v>994</v>
      </c>
      <c r="E5" s="443"/>
      <c r="F5" s="443" t="s">
        <v>995</v>
      </c>
      <c r="G5" s="443"/>
      <c r="H5" s="443" t="s">
        <v>996</v>
      </c>
      <c r="I5" s="443"/>
      <c r="J5" s="443" t="s">
        <v>605</v>
      </c>
      <c r="K5" s="443"/>
      <c r="L5" s="443" t="s">
        <v>602</v>
      </c>
      <c r="M5" s="443"/>
    </row>
    <row r="6" spans="2:18" ht="15.75" x14ac:dyDescent="0.25">
      <c r="B6" s="443"/>
      <c r="C6" s="443"/>
      <c r="D6" s="50" t="s">
        <v>983</v>
      </c>
      <c r="E6" s="50" t="s">
        <v>984</v>
      </c>
      <c r="F6" s="50" t="s">
        <v>983</v>
      </c>
      <c r="G6" s="50" t="s">
        <v>984</v>
      </c>
      <c r="H6" s="50" t="s">
        <v>983</v>
      </c>
      <c r="I6" s="50" t="s">
        <v>984</v>
      </c>
      <c r="J6" s="50" t="s">
        <v>983</v>
      </c>
      <c r="K6" s="50" t="s">
        <v>984</v>
      </c>
      <c r="L6" s="50" t="s">
        <v>983</v>
      </c>
      <c r="M6" s="50" t="s">
        <v>984</v>
      </c>
    </row>
    <row r="7" spans="2:18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8">
        <v>8</v>
      </c>
      <c r="J7" s="48">
        <v>9</v>
      </c>
      <c r="K7" s="48">
        <v>10</v>
      </c>
      <c r="L7" s="48">
        <v>11</v>
      </c>
      <c r="M7" s="48">
        <v>12</v>
      </c>
    </row>
    <row r="8" spans="2:18" ht="31.5" x14ac:dyDescent="0.25">
      <c r="B8" s="140" t="s">
        <v>247</v>
      </c>
      <c r="C8" s="51" t="s">
        <v>997</v>
      </c>
      <c r="D8" s="352">
        <v>0.18</v>
      </c>
      <c r="E8" s="352">
        <v>0.18</v>
      </c>
      <c r="F8" s="352">
        <v>0.15</v>
      </c>
      <c r="G8" s="352">
        <v>0.15</v>
      </c>
      <c r="H8" s="352">
        <v>0.95</v>
      </c>
      <c r="I8" s="352">
        <v>0.95</v>
      </c>
      <c r="J8" s="352">
        <v>1.41</v>
      </c>
      <c r="K8" s="352">
        <v>1.41</v>
      </c>
      <c r="L8" s="352">
        <v>1.49</v>
      </c>
      <c r="M8" s="352">
        <v>1.49</v>
      </c>
      <c r="Q8" s="22"/>
      <c r="R8" s="22"/>
    </row>
    <row r="9" spans="2:18" ht="15.75" x14ac:dyDescent="0.25">
      <c r="B9" s="52" t="s">
        <v>58</v>
      </c>
      <c r="C9" s="53" t="s">
        <v>986</v>
      </c>
      <c r="D9" s="353">
        <v>0.45</v>
      </c>
      <c r="E9" s="353">
        <v>0.45</v>
      </c>
      <c r="F9" s="353">
        <v>0.22</v>
      </c>
      <c r="G9" s="353">
        <v>0.22</v>
      </c>
      <c r="H9" s="353">
        <v>0.56999999999999995</v>
      </c>
      <c r="I9" s="353">
        <v>0.56999999999999995</v>
      </c>
      <c r="J9" s="353">
        <v>1.47</v>
      </c>
      <c r="K9" s="353">
        <v>1.47</v>
      </c>
      <c r="L9" s="353">
        <v>1.77</v>
      </c>
      <c r="M9" s="353">
        <v>1.77</v>
      </c>
      <c r="Q9" s="22"/>
      <c r="R9" s="22"/>
    </row>
    <row r="10" spans="2:18" ht="15.75" x14ac:dyDescent="0.25">
      <c r="B10" s="52" t="s">
        <v>88</v>
      </c>
      <c r="C10" s="53" t="s">
        <v>987</v>
      </c>
      <c r="D10" s="353">
        <v>0.1</v>
      </c>
      <c r="E10" s="353">
        <v>0.1</v>
      </c>
      <c r="F10" s="353">
        <v>0.04</v>
      </c>
      <c r="G10" s="353">
        <v>0.04</v>
      </c>
      <c r="H10" s="353">
        <v>0.31</v>
      </c>
      <c r="I10" s="353">
        <v>0.31</v>
      </c>
      <c r="J10" s="353">
        <v>0.62</v>
      </c>
      <c r="K10" s="353">
        <v>0.62</v>
      </c>
      <c r="L10" s="353">
        <v>1.02</v>
      </c>
      <c r="M10" s="353">
        <v>1.02</v>
      </c>
      <c r="Q10" s="22"/>
      <c r="R10" s="22"/>
    </row>
    <row r="11" spans="2:18" ht="15.75" x14ac:dyDescent="0.25">
      <c r="B11" s="52" t="s">
        <v>274</v>
      </c>
      <c r="C11" s="53" t="s">
        <v>46</v>
      </c>
      <c r="D11" s="353">
        <v>0.15</v>
      </c>
      <c r="E11" s="353">
        <v>0.15</v>
      </c>
      <c r="F11" s="353">
        <v>0.15</v>
      </c>
      <c r="G11" s="353">
        <v>0.15</v>
      </c>
      <c r="H11" s="353">
        <v>1.29</v>
      </c>
      <c r="I11" s="353">
        <v>1.29</v>
      </c>
      <c r="J11" s="353">
        <v>1.72</v>
      </c>
      <c r="K11" s="353">
        <v>1.72</v>
      </c>
      <c r="L11" s="353">
        <v>1.37</v>
      </c>
      <c r="M11" s="353">
        <v>1.38</v>
      </c>
      <c r="Q11" s="22"/>
      <c r="R11" s="22"/>
    </row>
    <row r="12" spans="2:18" ht="31.5" x14ac:dyDescent="0.25">
      <c r="B12" s="140" t="s">
        <v>248</v>
      </c>
      <c r="C12" s="51" t="s">
        <v>998</v>
      </c>
      <c r="D12" s="352">
        <v>0.86</v>
      </c>
      <c r="E12" s="352">
        <v>0.88</v>
      </c>
      <c r="F12" s="352">
        <v>0.46</v>
      </c>
      <c r="G12" s="352">
        <v>0.46</v>
      </c>
      <c r="H12" s="352">
        <v>0.65</v>
      </c>
      <c r="I12" s="352">
        <v>0.65</v>
      </c>
      <c r="J12" s="352">
        <v>1.85</v>
      </c>
      <c r="K12" s="352">
        <v>1.87</v>
      </c>
      <c r="L12" s="352">
        <v>1.68</v>
      </c>
      <c r="M12" s="352">
        <v>1.68</v>
      </c>
      <c r="Q12" s="22"/>
      <c r="R12" s="22"/>
    </row>
    <row r="13" spans="2:18" ht="15.75" x14ac:dyDescent="0.25">
      <c r="B13" s="52" t="s">
        <v>277</v>
      </c>
      <c r="C13" s="53" t="s">
        <v>986</v>
      </c>
      <c r="D13" s="353">
        <v>0.98</v>
      </c>
      <c r="E13" s="353">
        <v>0.98</v>
      </c>
      <c r="F13" s="353">
        <v>0.53</v>
      </c>
      <c r="G13" s="353">
        <v>0.53</v>
      </c>
      <c r="H13" s="353">
        <v>1.48</v>
      </c>
      <c r="I13" s="353">
        <v>1.49</v>
      </c>
      <c r="J13" s="353">
        <v>2.23</v>
      </c>
      <c r="K13" s="353">
        <v>2.23</v>
      </c>
      <c r="L13" s="353">
        <v>2.0099999999999998</v>
      </c>
      <c r="M13" s="353">
        <v>2.0099999999999998</v>
      </c>
      <c r="Q13" s="22"/>
      <c r="R13" s="22"/>
    </row>
    <row r="14" spans="2:18" ht="15.75" x14ac:dyDescent="0.25">
      <c r="B14" s="52" t="s">
        <v>278</v>
      </c>
      <c r="C14" s="53" t="s">
        <v>987</v>
      </c>
      <c r="D14" s="353">
        <v>0.87</v>
      </c>
      <c r="E14" s="353">
        <v>0.88</v>
      </c>
      <c r="F14" s="353">
        <v>0.49</v>
      </c>
      <c r="G14" s="353">
        <v>0.49</v>
      </c>
      <c r="H14" s="353">
        <v>0.57999999999999996</v>
      </c>
      <c r="I14" s="353">
        <v>0.57999999999999996</v>
      </c>
      <c r="J14" s="353">
        <v>1.68</v>
      </c>
      <c r="K14" s="353">
        <v>1.69</v>
      </c>
      <c r="L14" s="353">
        <v>1.49</v>
      </c>
      <c r="M14" s="353">
        <v>1.48</v>
      </c>
      <c r="Q14" s="22"/>
      <c r="R14" s="22"/>
    </row>
    <row r="15" spans="2:18" ht="15.75" x14ac:dyDescent="0.25">
      <c r="B15" s="52" t="s">
        <v>279</v>
      </c>
      <c r="C15" s="53" t="s">
        <v>46</v>
      </c>
      <c r="D15" s="353">
        <v>0.68</v>
      </c>
      <c r="E15" s="353">
        <v>0.73</v>
      </c>
      <c r="F15" s="353">
        <v>0.22</v>
      </c>
      <c r="G15" s="353">
        <v>0.22</v>
      </c>
      <c r="H15" s="353">
        <v>1.02</v>
      </c>
      <c r="I15" s="353">
        <v>1.03</v>
      </c>
      <c r="J15" s="353">
        <v>1.52</v>
      </c>
      <c r="K15" s="353">
        <v>1.63</v>
      </c>
      <c r="L15" s="353">
        <v>2.2000000000000002</v>
      </c>
      <c r="M15" s="353">
        <v>2.2200000000000002</v>
      </c>
      <c r="Q15" s="22"/>
      <c r="R15" s="22"/>
    </row>
    <row r="16" spans="2:18" ht="31.5" x14ac:dyDescent="0.25">
      <c r="B16" s="140" t="s">
        <v>249</v>
      </c>
      <c r="C16" s="51" t="s">
        <v>989</v>
      </c>
      <c r="D16" s="352">
        <v>0.56000000000000005</v>
      </c>
      <c r="E16" s="352">
        <v>0.56999999999999995</v>
      </c>
      <c r="F16" s="352">
        <v>0.3</v>
      </c>
      <c r="G16" s="352">
        <v>0.3</v>
      </c>
      <c r="H16" s="352">
        <v>0.69</v>
      </c>
      <c r="I16" s="352">
        <v>0.69</v>
      </c>
      <c r="J16" s="352">
        <v>1.72</v>
      </c>
      <c r="K16" s="352">
        <v>1.74</v>
      </c>
      <c r="L16" s="352">
        <v>1.59</v>
      </c>
      <c r="M16" s="352">
        <v>1.59</v>
      </c>
      <c r="Q16" s="22"/>
      <c r="R16" s="22"/>
    </row>
    <row r="17" spans="2:18" ht="15.75" x14ac:dyDescent="0.25">
      <c r="B17" s="52" t="s">
        <v>990</v>
      </c>
      <c r="C17" s="53" t="s">
        <v>986</v>
      </c>
      <c r="D17" s="353">
        <v>0.8</v>
      </c>
      <c r="E17" s="353">
        <v>0.8</v>
      </c>
      <c r="F17" s="353">
        <v>0.44</v>
      </c>
      <c r="G17" s="353">
        <v>0.44</v>
      </c>
      <c r="H17" s="353">
        <v>0.97</v>
      </c>
      <c r="I17" s="353">
        <v>0.97</v>
      </c>
      <c r="J17" s="353">
        <v>2</v>
      </c>
      <c r="K17" s="353">
        <v>2.0099999999999998</v>
      </c>
      <c r="L17" s="353">
        <v>1.86</v>
      </c>
      <c r="M17" s="353">
        <v>1.87</v>
      </c>
      <c r="Q17" s="22"/>
      <c r="R17" s="22"/>
    </row>
    <row r="18" spans="2:18" ht="15.75" x14ac:dyDescent="0.25">
      <c r="B18" s="52" t="s">
        <v>991</v>
      </c>
      <c r="C18" s="53" t="s">
        <v>987</v>
      </c>
      <c r="D18" s="353">
        <v>0.73</v>
      </c>
      <c r="E18" s="353">
        <v>0.75</v>
      </c>
      <c r="F18" s="353">
        <v>0.39</v>
      </c>
      <c r="G18" s="353">
        <v>0.39</v>
      </c>
      <c r="H18" s="353">
        <v>0.56999999999999995</v>
      </c>
      <c r="I18" s="353">
        <v>0.56999999999999995</v>
      </c>
      <c r="J18" s="353">
        <v>1.55</v>
      </c>
      <c r="K18" s="353">
        <v>1.56</v>
      </c>
      <c r="L18" s="353">
        <v>1.43</v>
      </c>
      <c r="M18" s="353">
        <v>1.43</v>
      </c>
      <c r="Q18" s="22"/>
      <c r="R18" s="22"/>
    </row>
    <row r="19" spans="2:18" ht="15.75" x14ac:dyDescent="0.25">
      <c r="B19" s="52" t="s">
        <v>992</v>
      </c>
      <c r="C19" s="53" t="s">
        <v>46</v>
      </c>
      <c r="D19" s="353">
        <v>0.27</v>
      </c>
      <c r="E19" s="353">
        <v>0.28000000000000003</v>
      </c>
      <c r="F19" s="353">
        <v>0.16</v>
      </c>
      <c r="G19" s="353">
        <v>0.16</v>
      </c>
      <c r="H19" s="353">
        <v>1.18</v>
      </c>
      <c r="I19" s="353">
        <v>1.18</v>
      </c>
      <c r="J19" s="353">
        <v>1.64</v>
      </c>
      <c r="K19" s="353">
        <v>1.68</v>
      </c>
      <c r="L19" s="353">
        <v>1.49</v>
      </c>
      <c r="M19" s="353">
        <v>1.49</v>
      </c>
      <c r="Q19" s="22"/>
      <c r="R19" s="22"/>
    </row>
    <row r="20" spans="2:18" ht="22.5" customHeight="1" x14ac:dyDescent="0.25">
      <c r="B20" s="461" t="s">
        <v>999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Q20" s="22"/>
      <c r="R20" s="22"/>
    </row>
    <row r="21" spans="2:18" x14ac:dyDescent="0.25">
      <c r="B21" s="404" t="s">
        <v>1099</v>
      </c>
      <c r="Q21" s="22"/>
      <c r="R21" s="22"/>
    </row>
    <row r="22" spans="2:18" x14ac:dyDescent="0.25">
      <c r="B22" s="63" t="s">
        <v>1100</v>
      </c>
    </row>
  </sheetData>
  <mergeCells count="9">
    <mergeCell ref="B20:M20"/>
    <mergeCell ref="B4:M4"/>
    <mergeCell ref="B5:B6"/>
    <mergeCell ref="C5:C6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G14"/>
  <sheetViews>
    <sheetView workbookViewId="0"/>
  </sheetViews>
  <sheetFormatPr defaultRowHeight="15" x14ac:dyDescent="0.25"/>
  <cols>
    <col min="3" max="3" width="30.140625" customWidth="1"/>
    <col min="4" max="5" width="18.140625" customWidth="1"/>
    <col min="6" max="6" width="10" customWidth="1"/>
  </cols>
  <sheetData>
    <row r="3" spans="2:7" ht="16.5" thickBot="1" x14ac:dyDescent="0.3">
      <c r="B3" s="47"/>
      <c r="C3" s="114"/>
      <c r="D3" s="68"/>
      <c r="E3" s="68"/>
      <c r="F3" s="71" t="s">
        <v>261</v>
      </c>
      <c r="G3" s="4"/>
    </row>
    <row r="4" spans="2:7" ht="24.95" customHeight="1" thickTop="1" x14ac:dyDescent="0.25">
      <c r="B4" s="454" t="s">
        <v>1335</v>
      </c>
      <c r="C4" s="454"/>
      <c r="D4" s="454"/>
      <c r="E4" s="454"/>
      <c r="F4" s="454"/>
      <c r="G4" s="6"/>
    </row>
    <row r="5" spans="2:7" ht="33.75" customHeight="1" x14ac:dyDescent="0.25">
      <c r="B5" s="118" t="s">
        <v>100</v>
      </c>
      <c r="C5" s="84" t="s">
        <v>56</v>
      </c>
      <c r="D5" s="84" t="s">
        <v>601</v>
      </c>
      <c r="E5" s="84" t="s">
        <v>602</v>
      </c>
      <c r="F5" s="84" t="s">
        <v>585</v>
      </c>
      <c r="G5" s="6"/>
    </row>
    <row r="6" spans="2:7" ht="15.75" x14ac:dyDescent="0.25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6"/>
    </row>
    <row r="7" spans="2:7" ht="15.75" customHeight="1" x14ac:dyDescent="0.25">
      <c r="B7" s="98" t="s">
        <v>247</v>
      </c>
      <c r="C7" s="88" t="s">
        <v>134</v>
      </c>
      <c r="D7" s="94">
        <v>7304578</v>
      </c>
      <c r="E7" s="94">
        <v>6462433</v>
      </c>
      <c r="F7" s="91">
        <f>E7/D7*100</f>
        <v>88.470997229408738</v>
      </c>
      <c r="G7" s="6"/>
    </row>
    <row r="8" spans="2:7" ht="15.75" x14ac:dyDescent="0.25">
      <c r="B8" s="98" t="s">
        <v>248</v>
      </c>
      <c r="C8" s="88" t="s">
        <v>135</v>
      </c>
      <c r="D8" s="94">
        <v>2873406</v>
      </c>
      <c r="E8" s="94">
        <v>2341259</v>
      </c>
      <c r="F8" s="91">
        <f>E8/D8*100</f>
        <v>81.480271148595079</v>
      </c>
      <c r="G8" s="6"/>
    </row>
    <row r="9" spans="2:7" ht="15.75" x14ac:dyDescent="0.25">
      <c r="B9" s="450" t="s">
        <v>136</v>
      </c>
      <c r="C9" s="450"/>
      <c r="D9" s="278">
        <f>D7/D8</f>
        <v>2.5421322291385207</v>
      </c>
      <c r="E9" s="278">
        <f>E7/E8</f>
        <v>2.7602384016462937</v>
      </c>
      <c r="F9" s="93"/>
      <c r="G9" s="6"/>
    </row>
    <row r="12" spans="2:7" x14ac:dyDescent="0.25">
      <c r="D12" s="14"/>
    </row>
    <row r="13" spans="2:7" x14ac:dyDescent="0.25">
      <c r="D13" s="14"/>
    </row>
    <row r="14" spans="2:7" x14ac:dyDescent="0.25">
      <c r="D14" s="36"/>
    </row>
  </sheetData>
  <mergeCells count="2">
    <mergeCell ref="B4:F4"/>
    <mergeCell ref="B9:C9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3:I18"/>
  <sheetViews>
    <sheetView workbookViewId="0"/>
  </sheetViews>
  <sheetFormatPr defaultRowHeight="15" x14ac:dyDescent="0.25"/>
  <cols>
    <col min="2" max="2" width="7" customWidth="1"/>
    <col min="3" max="3" width="45.42578125" customWidth="1"/>
    <col min="4" max="4" width="18.140625" customWidth="1"/>
    <col min="5" max="5" width="16.5703125" customWidth="1"/>
    <col min="6" max="6" width="10.85546875" customWidth="1"/>
    <col min="9" max="9" width="11.140625" bestFit="1" customWidth="1"/>
  </cols>
  <sheetData>
    <row r="3" spans="2:9" ht="16.5" thickBot="1" x14ac:dyDescent="0.3">
      <c r="B3" s="47"/>
      <c r="C3" s="47"/>
      <c r="D3" s="47"/>
      <c r="E3" s="47"/>
      <c r="F3" s="177" t="s">
        <v>261</v>
      </c>
    </row>
    <row r="4" spans="2:9" ht="24.95" customHeight="1" thickTop="1" x14ac:dyDescent="0.25">
      <c r="B4" s="462" t="s">
        <v>1336</v>
      </c>
      <c r="C4" s="462"/>
      <c r="D4" s="462"/>
      <c r="E4" s="462"/>
      <c r="F4" s="462"/>
    </row>
    <row r="5" spans="2:9" ht="15.75" x14ac:dyDescent="0.25">
      <c r="B5" s="443" t="s">
        <v>100</v>
      </c>
      <c r="C5" s="443" t="s">
        <v>56</v>
      </c>
      <c r="D5" s="443" t="s">
        <v>601</v>
      </c>
      <c r="E5" s="443" t="s">
        <v>602</v>
      </c>
      <c r="F5" s="50" t="s">
        <v>1</v>
      </c>
    </row>
    <row r="6" spans="2:9" ht="15.75" x14ac:dyDescent="0.25">
      <c r="B6" s="443"/>
      <c r="C6" s="443"/>
      <c r="D6" s="443"/>
      <c r="E6" s="443"/>
      <c r="F6" s="50" t="s">
        <v>48</v>
      </c>
    </row>
    <row r="7" spans="2:9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</row>
    <row r="8" spans="2:9" ht="15.75" customHeight="1" x14ac:dyDescent="0.25">
      <c r="B8" s="50" t="s">
        <v>247</v>
      </c>
      <c r="C8" s="50" t="s">
        <v>430</v>
      </c>
      <c r="D8" s="56">
        <f>SUM(D9:D13)</f>
        <v>7304578</v>
      </c>
      <c r="E8" s="56">
        <f>SUM(E9:E13)</f>
        <v>6462433</v>
      </c>
      <c r="F8" s="185">
        <f>E8/D8*100</f>
        <v>88.470997229408738</v>
      </c>
      <c r="H8" s="25"/>
      <c r="I8" s="14"/>
    </row>
    <row r="9" spans="2:9" ht="15.75" customHeight="1" x14ac:dyDescent="0.25">
      <c r="B9" s="52" t="s">
        <v>58</v>
      </c>
      <c r="C9" s="53" t="s">
        <v>431</v>
      </c>
      <c r="D9" s="55">
        <v>1101506</v>
      </c>
      <c r="E9" s="55">
        <v>992711</v>
      </c>
      <c r="F9" s="184">
        <f t="shared" ref="F9:F13" si="0">E9/D9*100</f>
        <v>90.123067872530882</v>
      </c>
      <c r="H9" s="25"/>
      <c r="I9" s="25"/>
    </row>
    <row r="10" spans="2:9" ht="15.75" customHeight="1" x14ac:dyDescent="0.25">
      <c r="B10" s="52" t="s">
        <v>88</v>
      </c>
      <c r="C10" s="53" t="s">
        <v>432</v>
      </c>
      <c r="D10" s="55">
        <v>3170848</v>
      </c>
      <c r="E10" s="55">
        <v>2433239</v>
      </c>
      <c r="F10" s="184">
        <f t="shared" si="0"/>
        <v>76.737800108992928</v>
      </c>
      <c r="H10" s="25"/>
      <c r="I10" s="25"/>
    </row>
    <row r="11" spans="2:9" ht="15.75" customHeight="1" x14ac:dyDescent="0.25">
      <c r="B11" s="52" t="s">
        <v>274</v>
      </c>
      <c r="C11" s="53" t="s">
        <v>433</v>
      </c>
      <c r="D11" s="55">
        <v>1487002</v>
      </c>
      <c r="E11" s="55">
        <v>1412357</v>
      </c>
      <c r="F11" s="184">
        <f>E11/D11*100</f>
        <v>94.980168150412709</v>
      </c>
      <c r="H11" s="25"/>
      <c r="I11" s="25"/>
    </row>
    <row r="12" spans="2:9" ht="31.5" customHeight="1" x14ac:dyDescent="0.25">
      <c r="B12" s="52" t="s">
        <v>275</v>
      </c>
      <c r="C12" s="53" t="s">
        <v>434</v>
      </c>
      <c r="D12" s="55">
        <v>1413035</v>
      </c>
      <c r="E12" s="55">
        <v>1418874</v>
      </c>
      <c r="F12" s="184">
        <f>E12/D12*100</f>
        <v>100.41322401780563</v>
      </c>
      <c r="H12" s="25"/>
      <c r="I12" s="25"/>
    </row>
    <row r="13" spans="2:9" ht="36.75" customHeight="1" x14ac:dyDescent="0.25">
      <c r="B13" s="52" t="s">
        <v>276</v>
      </c>
      <c r="C13" s="53" t="s">
        <v>464</v>
      </c>
      <c r="D13" s="55">
        <v>132187</v>
      </c>
      <c r="E13" s="55">
        <v>205252</v>
      </c>
      <c r="F13" s="184">
        <f t="shared" si="0"/>
        <v>155.27396793935864</v>
      </c>
      <c r="H13" s="25"/>
      <c r="I13" s="25"/>
    </row>
    <row r="14" spans="2:9" ht="15.75" customHeight="1" x14ac:dyDescent="0.25">
      <c r="B14" s="50" t="s">
        <v>248</v>
      </c>
      <c r="C14" s="50" t="s">
        <v>435</v>
      </c>
      <c r="D14" s="56">
        <f>D15+D16</f>
        <v>0</v>
      </c>
      <c r="E14" s="56">
        <f>E15+E16</f>
        <v>0</v>
      </c>
      <c r="F14" s="185" t="s">
        <v>80</v>
      </c>
      <c r="H14" s="25"/>
      <c r="I14" s="14"/>
    </row>
    <row r="15" spans="2:9" ht="15.75" customHeight="1" x14ac:dyDescent="0.25">
      <c r="B15" s="52" t="s">
        <v>277</v>
      </c>
      <c r="C15" s="53" t="s">
        <v>436</v>
      </c>
      <c r="D15" s="54">
        <v>0</v>
      </c>
      <c r="E15" s="55">
        <v>0</v>
      </c>
      <c r="F15" s="184" t="s">
        <v>80</v>
      </c>
      <c r="H15" s="25"/>
      <c r="I15" s="14"/>
    </row>
    <row r="16" spans="2:9" ht="15.75" customHeight="1" x14ac:dyDescent="0.25">
      <c r="B16" s="52" t="s">
        <v>278</v>
      </c>
      <c r="C16" s="53" t="s">
        <v>437</v>
      </c>
      <c r="D16" s="55">
        <v>0</v>
      </c>
      <c r="E16" s="55">
        <v>0</v>
      </c>
      <c r="F16" s="184" t="s">
        <v>80</v>
      </c>
      <c r="H16" s="25"/>
      <c r="I16" s="14"/>
    </row>
    <row r="17" spans="2:9" ht="15.75" customHeight="1" x14ac:dyDescent="0.25">
      <c r="B17" s="443" t="s">
        <v>438</v>
      </c>
      <c r="C17" s="443"/>
      <c r="D17" s="56">
        <f>D8+D14</f>
        <v>7304578</v>
      </c>
      <c r="E17" s="56">
        <f>E8+E14</f>
        <v>6462433</v>
      </c>
      <c r="F17" s="185">
        <f>E17/D17*100</f>
        <v>88.470997229408738</v>
      </c>
      <c r="H17" s="25"/>
      <c r="I17" s="14"/>
    </row>
    <row r="18" spans="2:9" x14ac:dyDescent="0.25">
      <c r="H18" s="14"/>
    </row>
  </sheetData>
  <mergeCells count="6">
    <mergeCell ref="B17:C17"/>
    <mergeCell ref="B4:F4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F11"/>
  <sheetViews>
    <sheetView workbookViewId="0"/>
  </sheetViews>
  <sheetFormatPr defaultColWidth="9.140625" defaultRowHeight="15.75" x14ac:dyDescent="0.25"/>
  <cols>
    <col min="1" max="1" width="9.140625" style="2"/>
    <col min="2" max="2" width="6.5703125" style="2" customWidth="1"/>
    <col min="3" max="3" width="44" style="2" customWidth="1"/>
    <col min="4" max="5" width="14.85546875" style="2" customWidth="1"/>
    <col min="6" max="6" width="12.5703125" style="2" customWidth="1"/>
    <col min="7" max="8" width="9.140625" style="2"/>
    <col min="9" max="9" width="10.140625" style="2" bestFit="1" customWidth="1"/>
    <col min="10" max="16384" width="9.140625" style="2"/>
  </cols>
  <sheetData>
    <row r="3" spans="2:6" ht="16.5" thickBot="1" x14ac:dyDescent="0.3">
      <c r="B3" s="65"/>
      <c r="C3" s="65"/>
      <c r="D3" s="65"/>
      <c r="E3" s="65"/>
      <c r="F3" s="71" t="s">
        <v>261</v>
      </c>
    </row>
    <row r="4" spans="2:6" ht="24.95" customHeight="1" thickTop="1" x14ac:dyDescent="0.25">
      <c r="B4" s="462" t="s">
        <v>1337</v>
      </c>
      <c r="C4" s="462"/>
      <c r="D4" s="462"/>
      <c r="E4" s="462"/>
      <c r="F4" s="462"/>
    </row>
    <row r="5" spans="2:6" x14ac:dyDescent="0.25">
      <c r="B5" s="443" t="s">
        <v>100</v>
      </c>
      <c r="C5" s="443" t="s">
        <v>56</v>
      </c>
      <c r="D5" s="443" t="s">
        <v>601</v>
      </c>
      <c r="E5" s="443" t="s">
        <v>602</v>
      </c>
      <c r="F5" s="50" t="s">
        <v>1</v>
      </c>
    </row>
    <row r="6" spans="2:6" x14ac:dyDescent="0.25">
      <c r="B6" s="443"/>
      <c r="C6" s="443"/>
      <c r="D6" s="443"/>
      <c r="E6" s="443"/>
      <c r="F6" s="50" t="s">
        <v>48</v>
      </c>
    </row>
    <row r="7" spans="2:6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</row>
    <row r="8" spans="2:6" ht="15.75" customHeight="1" x14ac:dyDescent="0.25">
      <c r="B8" s="52" t="s">
        <v>247</v>
      </c>
      <c r="C8" s="53" t="s">
        <v>439</v>
      </c>
      <c r="D8" s="55">
        <v>6628489</v>
      </c>
      <c r="E8" s="55">
        <v>6445440</v>
      </c>
      <c r="F8" s="61">
        <f>E8/D8*100</f>
        <v>97.238450572973719</v>
      </c>
    </row>
    <row r="9" spans="2:6" x14ac:dyDescent="0.25">
      <c r="B9" s="52" t="s">
        <v>248</v>
      </c>
      <c r="C9" s="53" t="s">
        <v>440</v>
      </c>
      <c r="D9" s="55">
        <v>3755083</v>
      </c>
      <c r="E9" s="55">
        <v>4104181</v>
      </c>
      <c r="F9" s="61">
        <f t="shared" ref="F9" si="0">E9/D9*100</f>
        <v>109.296678661963</v>
      </c>
    </row>
    <row r="10" spans="2:6" ht="33" customHeight="1" x14ac:dyDescent="0.25">
      <c r="B10" s="52" t="s">
        <v>249</v>
      </c>
      <c r="C10" s="53" t="s">
        <v>441</v>
      </c>
      <c r="D10" s="55">
        <f>D8*75%</f>
        <v>4971366.75</v>
      </c>
      <c r="E10" s="55">
        <f>E8*75%</f>
        <v>4834080</v>
      </c>
      <c r="F10" s="61">
        <f>E10/D10*100</f>
        <v>97.238450572973719</v>
      </c>
    </row>
    <row r="11" spans="2:6" ht="21.75" customHeight="1" x14ac:dyDescent="0.25">
      <c r="B11" s="443" t="s">
        <v>610</v>
      </c>
      <c r="C11" s="443"/>
      <c r="D11" s="56">
        <f>D8-MIN(D9,D10)</f>
        <v>2873406</v>
      </c>
      <c r="E11" s="56">
        <f>E8-MIN(E9,E10)</f>
        <v>2341259</v>
      </c>
      <c r="F11" s="59">
        <f>E11/D11*100</f>
        <v>81.480271148595079</v>
      </c>
    </row>
  </sheetData>
  <mergeCells count="6">
    <mergeCell ref="B11:C11"/>
    <mergeCell ref="B4:F4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2FFC-0F47-47E6-9E28-FC2246648E01}">
  <dimension ref="B3:K9"/>
  <sheetViews>
    <sheetView workbookViewId="0"/>
  </sheetViews>
  <sheetFormatPr defaultRowHeight="15" x14ac:dyDescent="0.25"/>
  <cols>
    <col min="2" max="2" width="7.42578125" customWidth="1"/>
    <col min="3" max="3" width="41.42578125" customWidth="1"/>
    <col min="4" max="4" width="21.42578125" customWidth="1"/>
    <col min="5" max="5" width="17.85546875" customWidth="1"/>
    <col min="6" max="6" width="11.140625" customWidth="1"/>
  </cols>
  <sheetData>
    <row r="3" spans="2:11" ht="16.5" thickBot="1" x14ac:dyDescent="0.3">
      <c r="F3" s="71" t="s">
        <v>261</v>
      </c>
    </row>
    <row r="4" spans="2:11" ht="24.95" customHeight="1" thickTop="1" x14ac:dyDescent="0.25">
      <c r="B4" s="463" t="s">
        <v>1338</v>
      </c>
      <c r="C4" s="463"/>
      <c r="D4" s="463"/>
      <c r="E4" s="463"/>
      <c r="F4" s="463"/>
    </row>
    <row r="5" spans="2:11" ht="30" customHeight="1" x14ac:dyDescent="0.25">
      <c r="B5" s="50" t="s">
        <v>100</v>
      </c>
      <c r="C5" s="50" t="s">
        <v>56</v>
      </c>
      <c r="D5" s="50" t="s">
        <v>601</v>
      </c>
      <c r="E5" s="50" t="s">
        <v>602</v>
      </c>
      <c r="F5" s="50" t="s">
        <v>585</v>
      </c>
    </row>
    <row r="6" spans="2:11" x14ac:dyDescent="0.25">
      <c r="B6" s="48">
        <v>1</v>
      </c>
      <c r="C6" s="48">
        <v>2</v>
      </c>
      <c r="D6" s="48">
        <v>3</v>
      </c>
      <c r="E6" s="48">
        <v>4</v>
      </c>
      <c r="F6" s="48">
        <v>5</v>
      </c>
    </row>
    <row r="7" spans="2:11" ht="20.100000000000001" customHeight="1" x14ac:dyDescent="0.25">
      <c r="B7" s="52" t="s">
        <v>247</v>
      </c>
      <c r="C7" s="53" t="s">
        <v>478</v>
      </c>
      <c r="D7" s="61">
        <v>23425630</v>
      </c>
      <c r="E7" s="61">
        <v>23611815</v>
      </c>
      <c r="F7" s="61">
        <f>E7/D7*100</f>
        <v>100.79479185831927</v>
      </c>
      <c r="K7" s="14"/>
    </row>
    <row r="8" spans="2:11" ht="20.100000000000001" customHeight="1" x14ac:dyDescent="0.25">
      <c r="B8" s="52" t="s">
        <v>248</v>
      </c>
      <c r="C8" s="53" t="s">
        <v>479</v>
      </c>
      <c r="D8" s="61">
        <v>14715074</v>
      </c>
      <c r="E8" s="61">
        <v>15087871</v>
      </c>
      <c r="F8" s="61">
        <f>E8/D8*100</f>
        <v>102.5334361213542</v>
      </c>
      <c r="K8" s="14"/>
    </row>
    <row r="9" spans="2:11" ht="20.100000000000001" customHeight="1" x14ac:dyDescent="0.25">
      <c r="B9" s="443" t="s">
        <v>480</v>
      </c>
      <c r="C9" s="443"/>
      <c r="D9" s="271">
        <f>D7/D8</f>
        <v>1.5919478216691265</v>
      </c>
      <c r="E9" s="271">
        <f>E7/E8</f>
        <v>1.5649533986604207</v>
      </c>
      <c r="F9" s="50"/>
    </row>
  </sheetData>
  <mergeCells count="2">
    <mergeCell ref="B4:F4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E5DB-907B-4F25-B990-D02D9D7E4FEF}">
  <dimension ref="B3:I20"/>
  <sheetViews>
    <sheetView workbookViewId="0"/>
  </sheetViews>
  <sheetFormatPr defaultRowHeight="15" x14ac:dyDescent="0.25"/>
  <cols>
    <col min="2" max="2" width="6.42578125" customWidth="1"/>
    <col min="3" max="3" width="40.85546875" customWidth="1"/>
    <col min="4" max="4" width="14.5703125" customWidth="1"/>
    <col min="5" max="5" width="13.140625" customWidth="1"/>
    <col min="6" max="6" width="15.5703125" customWidth="1"/>
    <col min="7" max="7" width="14" customWidth="1"/>
    <col min="8" max="8" width="12.28515625" customWidth="1"/>
    <col min="9" max="9" width="11.5703125" customWidth="1"/>
  </cols>
  <sheetData>
    <row r="3" spans="2:9" ht="16.5" thickBot="1" x14ac:dyDescent="0.3">
      <c r="B3" s="47"/>
      <c r="C3" s="47"/>
      <c r="D3" s="47"/>
      <c r="E3" s="47"/>
      <c r="F3" s="47"/>
      <c r="G3" s="47"/>
      <c r="H3" s="47"/>
      <c r="I3" s="71" t="s">
        <v>261</v>
      </c>
    </row>
    <row r="4" spans="2:9" s="274" customFormat="1" ht="24.95" customHeight="1" thickTop="1" x14ac:dyDescent="0.25">
      <c r="B4" s="464" t="s">
        <v>1339</v>
      </c>
      <c r="C4" s="464"/>
      <c r="D4" s="464"/>
      <c r="E4" s="464"/>
      <c r="F4" s="464"/>
      <c r="G4" s="464"/>
      <c r="H4" s="464"/>
      <c r="I4" s="464"/>
    </row>
    <row r="5" spans="2:9" ht="15.75" x14ac:dyDescent="0.25">
      <c r="B5" s="465" t="s">
        <v>100</v>
      </c>
      <c r="C5" s="450" t="s">
        <v>56</v>
      </c>
      <c r="D5" s="450" t="s">
        <v>601</v>
      </c>
      <c r="E5" s="450"/>
      <c r="F5" s="450" t="s">
        <v>602</v>
      </c>
      <c r="G5" s="450"/>
      <c r="H5" s="450" t="s">
        <v>1</v>
      </c>
      <c r="I5" s="450"/>
    </row>
    <row r="6" spans="2:9" ht="31.5" x14ac:dyDescent="0.25">
      <c r="B6" s="465"/>
      <c r="C6" s="450"/>
      <c r="D6" s="84" t="s">
        <v>492</v>
      </c>
      <c r="E6" s="84" t="s">
        <v>493</v>
      </c>
      <c r="F6" s="84" t="s">
        <v>492</v>
      </c>
      <c r="G6" s="84" t="s">
        <v>493</v>
      </c>
      <c r="H6" s="84" t="s">
        <v>333</v>
      </c>
      <c r="I6" s="84" t="s">
        <v>483</v>
      </c>
    </row>
    <row r="7" spans="2:9" x14ac:dyDescent="0.25">
      <c r="B7" s="86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  <c r="I7" s="86">
        <v>8</v>
      </c>
    </row>
    <row r="8" spans="2:9" ht="15.75" x14ac:dyDescent="0.25">
      <c r="B8" s="275"/>
      <c r="C8" s="273" t="s">
        <v>494</v>
      </c>
      <c r="D8" s="273"/>
      <c r="E8" s="273"/>
      <c r="F8" s="273"/>
      <c r="G8" s="273"/>
      <c r="H8" s="273"/>
      <c r="I8" s="273"/>
    </row>
    <row r="9" spans="2:9" ht="15.75" customHeight="1" x14ac:dyDescent="0.25">
      <c r="B9" s="52" t="s">
        <v>247</v>
      </c>
      <c r="C9" s="53" t="s">
        <v>495</v>
      </c>
      <c r="D9" s="55">
        <v>3793951</v>
      </c>
      <c r="E9" s="55">
        <v>3793951</v>
      </c>
      <c r="F9" s="176">
        <v>3985603</v>
      </c>
      <c r="G9" s="55">
        <v>3985603</v>
      </c>
      <c r="H9" s="184">
        <f>F9/D9*100</f>
        <v>105.05151489832103</v>
      </c>
      <c r="I9" s="184">
        <f>G9/E9*100</f>
        <v>105.05151489832103</v>
      </c>
    </row>
    <row r="10" spans="2:9" ht="15.75" customHeight="1" x14ac:dyDescent="0.25">
      <c r="B10" s="52" t="s">
        <v>248</v>
      </c>
      <c r="C10" s="53" t="s">
        <v>496</v>
      </c>
      <c r="D10" s="55">
        <v>13624740</v>
      </c>
      <c r="E10" s="55">
        <v>12619260</v>
      </c>
      <c r="F10" s="176">
        <v>13939854</v>
      </c>
      <c r="G10" s="55">
        <v>12914362</v>
      </c>
      <c r="H10" s="184">
        <f t="shared" ref="H10:H15" si="0">F10/D10*100</f>
        <v>102.31280743705935</v>
      </c>
      <c r="I10" s="184">
        <f t="shared" ref="I10:I15" si="1">G10/E10*100</f>
        <v>102.33850479346648</v>
      </c>
    </row>
    <row r="11" spans="2:9" ht="28.5" customHeight="1" x14ac:dyDescent="0.25">
      <c r="B11" s="52" t="s">
        <v>249</v>
      </c>
      <c r="C11" s="53" t="s">
        <v>497</v>
      </c>
      <c r="D11" s="55">
        <v>12028836</v>
      </c>
      <c r="E11" s="55">
        <v>6259033</v>
      </c>
      <c r="F11" s="176">
        <v>11475568</v>
      </c>
      <c r="G11" s="55">
        <v>5959956</v>
      </c>
      <c r="H11" s="184">
        <f t="shared" si="0"/>
        <v>95.400485965558104</v>
      </c>
      <c r="I11" s="184">
        <f t="shared" si="1"/>
        <v>95.221674018973857</v>
      </c>
    </row>
    <row r="12" spans="2:9" ht="19.5" customHeight="1" x14ac:dyDescent="0.25">
      <c r="B12" s="52" t="s">
        <v>250</v>
      </c>
      <c r="C12" s="53" t="s">
        <v>510</v>
      </c>
      <c r="D12" s="55">
        <v>44982</v>
      </c>
      <c r="E12" s="55">
        <v>13017</v>
      </c>
      <c r="F12" s="176">
        <v>70601</v>
      </c>
      <c r="G12" s="55">
        <v>26334</v>
      </c>
      <c r="H12" s="184">
        <f t="shared" si="0"/>
        <v>156.95389266817838</v>
      </c>
      <c r="I12" s="184">
        <f t="shared" si="1"/>
        <v>202.30467849734964</v>
      </c>
    </row>
    <row r="13" spans="2:9" ht="15.75" customHeight="1" x14ac:dyDescent="0.25">
      <c r="B13" s="52" t="s">
        <v>251</v>
      </c>
      <c r="C13" s="53" t="s">
        <v>498</v>
      </c>
      <c r="D13" s="55">
        <v>1389647</v>
      </c>
      <c r="E13" s="55">
        <v>658394</v>
      </c>
      <c r="F13" s="176">
        <v>1400477</v>
      </c>
      <c r="G13" s="55">
        <v>638170</v>
      </c>
      <c r="H13" s="184">
        <f t="shared" si="0"/>
        <v>100.77933460799757</v>
      </c>
      <c r="I13" s="184">
        <f t="shared" si="1"/>
        <v>96.928283064547969</v>
      </c>
    </row>
    <row r="14" spans="2:9" ht="15.75" customHeight="1" x14ac:dyDescent="0.25">
      <c r="B14" s="52" t="s">
        <v>252</v>
      </c>
      <c r="C14" s="53" t="s">
        <v>499</v>
      </c>
      <c r="D14" s="55">
        <v>615078</v>
      </c>
      <c r="E14" s="55">
        <v>81975</v>
      </c>
      <c r="F14" s="176">
        <v>676743</v>
      </c>
      <c r="G14" s="55">
        <v>87390</v>
      </c>
      <c r="H14" s="184">
        <f t="shared" si="0"/>
        <v>110.02555773414105</v>
      </c>
      <c r="I14" s="184">
        <f t="shared" si="1"/>
        <v>106.60567246111619</v>
      </c>
    </row>
    <row r="15" spans="2:9" ht="24.95" customHeight="1" x14ac:dyDescent="0.25">
      <c r="B15" s="259"/>
      <c r="C15" s="259" t="s">
        <v>500</v>
      </c>
      <c r="D15" s="56">
        <f>SUM(D9:D14)</f>
        <v>31497234</v>
      </c>
      <c r="E15" s="56">
        <f>SUM(E9:E14)</f>
        <v>23425630</v>
      </c>
      <c r="F15" s="172">
        <f>SUM(F9:F14)</f>
        <v>31548846</v>
      </c>
      <c r="G15" s="56">
        <f>SUM(G9:G14)</f>
        <v>23611815</v>
      </c>
      <c r="H15" s="185">
        <f t="shared" si="0"/>
        <v>100.1638620076925</v>
      </c>
      <c r="I15" s="185">
        <f t="shared" si="1"/>
        <v>100.79479185831927</v>
      </c>
    </row>
    <row r="20" spans="7:7" x14ac:dyDescent="0.25">
      <c r="G20" s="14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J11"/>
  <sheetViews>
    <sheetView workbookViewId="0"/>
  </sheetViews>
  <sheetFormatPr defaultColWidth="9.140625" defaultRowHeight="15" x14ac:dyDescent="0.25"/>
  <cols>
    <col min="3" max="3" width="31" customWidth="1"/>
    <col min="4" max="4" width="14" customWidth="1"/>
    <col min="5" max="5" width="14.140625" customWidth="1"/>
    <col min="6" max="6" width="13.85546875" customWidth="1"/>
    <col min="7" max="7" width="13.140625" customWidth="1"/>
    <col min="8" max="8" width="13" customWidth="1"/>
  </cols>
  <sheetData>
    <row r="2" spans="2:10" ht="15.75" x14ac:dyDescent="0.25">
      <c r="C2" s="18"/>
      <c r="J2" s="41"/>
    </row>
    <row r="3" spans="2:10" ht="16.5" thickBot="1" x14ac:dyDescent="0.3">
      <c r="C3" s="3" t="s">
        <v>11</v>
      </c>
      <c r="D3" s="4"/>
      <c r="E3" s="4"/>
      <c r="F3" s="4"/>
      <c r="G3" s="4"/>
      <c r="H3" s="64" t="s">
        <v>262</v>
      </c>
    </row>
    <row r="4" spans="2:10" ht="24.95" customHeight="1" thickTop="1" x14ac:dyDescent="0.25">
      <c r="B4" s="446" t="s">
        <v>677</v>
      </c>
      <c r="C4" s="446"/>
      <c r="D4" s="446"/>
      <c r="E4" s="446"/>
      <c r="F4" s="446"/>
      <c r="G4" s="446"/>
      <c r="H4" s="446"/>
    </row>
    <row r="5" spans="2:10" ht="15.75" x14ac:dyDescent="0.25">
      <c r="B5" s="443" t="s">
        <v>100</v>
      </c>
      <c r="C5" s="443" t="s">
        <v>7</v>
      </c>
      <c r="D5" s="443" t="s">
        <v>601</v>
      </c>
      <c r="E5" s="443"/>
      <c r="F5" s="443" t="s">
        <v>602</v>
      </c>
      <c r="G5" s="443"/>
      <c r="H5" s="50" t="s">
        <v>1</v>
      </c>
    </row>
    <row r="6" spans="2:10" ht="15.75" x14ac:dyDescent="0.25">
      <c r="B6" s="443"/>
      <c r="C6" s="443"/>
      <c r="D6" s="50" t="s">
        <v>2</v>
      </c>
      <c r="E6" s="50" t="s">
        <v>20</v>
      </c>
      <c r="F6" s="50" t="s">
        <v>2</v>
      </c>
      <c r="G6" s="50" t="s">
        <v>20</v>
      </c>
      <c r="H6" s="50" t="s">
        <v>333</v>
      </c>
    </row>
    <row r="7" spans="2:10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</row>
    <row r="8" spans="2:10" ht="15.75" x14ac:dyDescent="0.25">
      <c r="B8" s="52" t="s">
        <v>247</v>
      </c>
      <c r="C8" s="53" t="s">
        <v>8</v>
      </c>
      <c r="D8" s="55">
        <v>126556</v>
      </c>
      <c r="E8" s="58">
        <f>D8/D11*100</f>
        <v>7.839250639096278</v>
      </c>
      <c r="F8" s="55">
        <v>126556</v>
      </c>
      <c r="G8" s="58">
        <f>F8/F11*100</f>
        <v>7.839250639096278</v>
      </c>
      <c r="H8" s="61">
        <f>F8/D8*100</f>
        <v>100</v>
      </c>
    </row>
    <row r="9" spans="2:10" ht="15.75" x14ac:dyDescent="0.25">
      <c r="B9" s="52" t="s">
        <v>248</v>
      </c>
      <c r="C9" s="53" t="s">
        <v>9</v>
      </c>
      <c r="D9" s="55">
        <v>367109</v>
      </c>
      <c r="E9" s="58">
        <f>D9/D11*100</f>
        <v>22.739810541325543</v>
      </c>
      <c r="F9" s="55">
        <v>367096</v>
      </c>
      <c r="G9" s="58">
        <f>F9/F11*100</f>
        <v>22.7390052831133</v>
      </c>
      <c r="H9" s="61">
        <f>F9/D9*100</f>
        <v>99.996458817408453</v>
      </c>
      <c r="J9" s="14"/>
    </row>
    <row r="10" spans="2:10" ht="15.75" x14ac:dyDescent="0.25">
      <c r="B10" s="52" t="s">
        <v>249</v>
      </c>
      <c r="C10" s="53" t="s">
        <v>10</v>
      </c>
      <c r="D10" s="55">
        <v>1120724</v>
      </c>
      <c r="E10" s="58">
        <f>D10/D11*100</f>
        <v>69.420938819578183</v>
      </c>
      <c r="F10" s="55">
        <v>1120737</v>
      </c>
      <c r="G10" s="58">
        <f>F10/F11*100</f>
        <v>69.421744077790422</v>
      </c>
      <c r="H10" s="61">
        <f>F10/D10*100</f>
        <v>100.00115996445156</v>
      </c>
    </row>
    <row r="11" spans="2:10" ht="15.75" x14ac:dyDescent="0.25">
      <c r="B11" s="443" t="s">
        <v>18</v>
      </c>
      <c r="C11" s="443"/>
      <c r="D11" s="56">
        <f t="shared" ref="D11:G11" si="0">SUM(D8:D10)</f>
        <v>1614389</v>
      </c>
      <c r="E11" s="59">
        <f t="shared" si="0"/>
        <v>100</v>
      </c>
      <c r="F11" s="56">
        <f t="shared" si="0"/>
        <v>1614389</v>
      </c>
      <c r="G11" s="59">
        <f t="shared" si="0"/>
        <v>100</v>
      </c>
      <c r="H11" s="59">
        <f>F11/D11*100</f>
        <v>100</v>
      </c>
      <c r="J11" s="14"/>
    </row>
  </sheetData>
  <mergeCells count="6">
    <mergeCell ref="B11:C11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scale="73" fitToHeight="0" orientation="landscape" r:id="rId1"/>
  <ignoredErrors>
    <ignoredError sqref="D11:F11" formulaRange="1"/>
    <ignoredError sqref="G8:G10" evalError="1"/>
    <ignoredError sqref="G11" evalError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B946-9921-47FE-95B6-13B9695AE3B6}">
  <dimension ref="B3:I16"/>
  <sheetViews>
    <sheetView workbookViewId="0"/>
  </sheetViews>
  <sheetFormatPr defaultRowHeight="15" x14ac:dyDescent="0.25"/>
  <cols>
    <col min="2" max="2" width="6.140625" customWidth="1"/>
    <col min="3" max="3" width="43.85546875" customWidth="1"/>
    <col min="4" max="4" width="15.5703125" customWidth="1"/>
    <col min="5" max="5" width="16.140625" customWidth="1"/>
    <col min="6" max="6" width="17.140625" customWidth="1"/>
    <col min="7" max="7" width="17.42578125" customWidth="1"/>
    <col min="8" max="8" width="11.85546875" customWidth="1"/>
    <col min="9" max="9" width="10.42578125" customWidth="1"/>
    <col min="11" max="11" width="9.85546875" bestFit="1" customWidth="1"/>
  </cols>
  <sheetData>
    <row r="3" spans="2:9" ht="16.5" thickBot="1" x14ac:dyDescent="0.3">
      <c r="I3" s="71" t="s">
        <v>261</v>
      </c>
    </row>
    <row r="4" spans="2:9" ht="24.95" customHeight="1" thickTop="1" x14ac:dyDescent="0.25">
      <c r="B4" s="466" t="s">
        <v>1340</v>
      </c>
      <c r="C4" s="466"/>
      <c r="D4" s="466"/>
      <c r="E4" s="466"/>
      <c r="F4" s="466"/>
      <c r="G4" s="466"/>
      <c r="H4" s="466"/>
      <c r="I4" s="466"/>
    </row>
    <row r="5" spans="2:9" ht="15.75" x14ac:dyDescent="0.25">
      <c r="B5" s="467" t="s">
        <v>100</v>
      </c>
      <c r="C5" s="468" t="s">
        <v>56</v>
      </c>
      <c r="D5" s="468" t="s">
        <v>601</v>
      </c>
      <c r="E5" s="468"/>
      <c r="F5" s="468" t="s">
        <v>602</v>
      </c>
      <c r="G5" s="468"/>
      <c r="H5" s="468" t="s">
        <v>1</v>
      </c>
      <c r="I5" s="468"/>
    </row>
    <row r="6" spans="2:9" ht="15.75" x14ac:dyDescent="0.25">
      <c r="B6" s="467"/>
      <c r="C6" s="468"/>
      <c r="D6" s="272" t="s">
        <v>481</v>
      </c>
      <c r="E6" s="272" t="s">
        <v>482</v>
      </c>
      <c r="F6" s="272" t="s">
        <v>481</v>
      </c>
      <c r="G6" s="272" t="s">
        <v>482</v>
      </c>
      <c r="H6" s="272" t="s">
        <v>333</v>
      </c>
      <c r="I6" s="272" t="s">
        <v>483</v>
      </c>
    </row>
    <row r="7" spans="2:9" x14ac:dyDescent="0.25">
      <c r="B7" s="282">
        <v>1</v>
      </c>
      <c r="C7" s="282">
        <v>2</v>
      </c>
      <c r="D7" s="282">
        <v>3</v>
      </c>
      <c r="E7" s="282">
        <v>4</v>
      </c>
      <c r="F7" s="282">
        <v>5</v>
      </c>
      <c r="G7" s="282">
        <v>6</v>
      </c>
      <c r="H7" s="282">
        <v>7</v>
      </c>
      <c r="I7" s="282">
        <v>8</v>
      </c>
    </row>
    <row r="8" spans="2:9" ht="15.75" customHeight="1" x14ac:dyDescent="0.25">
      <c r="B8" s="273"/>
      <c r="C8" s="273" t="s">
        <v>484</v>
      </c>
      <c r="D8" s="273"/>
      <c r="E8" s="273"/>
      <c r="F8" s="273"/>
      <c r="G8" s="273"/>
      <c r="H8" s="53"/>
      <c r="I8" s="53"/>
    </row>
    <row r="9" spans="2:9" ht="15.75" customHeight="1" x14ac:dyDescent="0.25">
      <c r="B9" s="52" t="s">
        <v>247</v>
      </c>
      <c r="C9" s="53" t="s">
        <v>485</v>
      </c>
      <c r="D9" s="55">
        <v>6938508</v>
      </c>
      <c r="E9" s="55">
        <v>0</v>
      </c>
      <c r="F9" s="55">
        <v>6097950</v>
      </c>
      <c r="G9" s="55">
        <v>0</v>
      </c>
      <c r="H9" s="61">
        <f t="shared" ref="H9:H16" si="0">F9/D9*100</f>
        <v>87.885608836943035</v>
      </c>
      <c r="I9" s="276" t="s">
        <v>80</v>
      </c>
    </row>
    <row r="10" spans="2:9" ht="15.75" customHeight="1" x14ac:dyDescent="0.25">
      <c r="B10" s="52" t="s">
        <v>248</v>
      </c>
      <c r="C10" s="53" t="s">
        <v>486</v>
      </c>
      <c r="D10" s="55">
        <v>2859345</v>
      </c>
      <c r="E10" s="55">
        <v>55515</v>
      </c>
      <c r="F10" s="55">
        <v>2921939</v>
      </c>
      <c r="G10" s="55">
        <v>60144</v>
      </c>
      <c r="H10" s="61">
        <f t="shared" si="0"/>
        <v>102.18910274905618</v>
      </c>
      <c r="I10" s="61">
        <f t="shared" ref="I10:I16" si="1">G10/E10*100</f>
        <v>108.33828694947312</v>
      </c>
    </row>
    <row r="11" spans="2:9" ht="15.75" customHeight="1" x14ac:dyDescent="0.25">
      <c r="B11" s="52" t="s">
        <v>249</v>
      </c>
      <c r="C11" s="53" t="s">
        <v>487</v>
      </c>
      <c r="D11" s="55">
        <v>268702</v>
      </c>
      <c r="E11" s="55">
        <v>223035</v>
      </c>
      <c r="F11" s="55">
        <v>257602</v>
      </c>
      <c r="G11" s="55">
        <v>206822</v>
      </c>
      <c r="H11" s="61">
        <f t="shared" si="0"/>
        <v>95.869029631338805</v>
      </c>
      <c r="I11" s="61">
        <f t="shared" si="1"/>
        <v>92.73073732822202</v>
      </c>
    </row>
    <row r="12" spans="2:9" ht="15.75" customHeight="1" x14ac:dyDescent="0.25">
      <c r="B12" s="52" t="s">
        <v>250</v>
      </c>
      <c r="C12" s="53" t="s">
        <v>488</v>
      </c>
      <c r="D12" s="55">
        <v>21029124</v>
      </c>
      <c r="E12" s="55">
        <v>13165611</v>
      </c>
      <c r="F12" s="55">
        <v>21865293</v>
      </c>
      <c r="G12" s="55">
        <v>13539768</v>
      </c>
      <c r="H12" s="61">
        <f t="shared" si="0"/>
        <v>103.97624266231918</v>
      </c>
      <c r="I12" s="61">
        <f t="shared" si="1"/>
        <v>102.84192659193714</v>
      </c>
    </row>
    <row r="13" spans="2:9" ht="15.75" customHeight="1" x14ac:dyDescent="0.25">
      <c r="B13" s="52" t="s">
        <v>251</v>
      </c>
      <c r="C13" s="53" t="s">
        <v>517</v>
      </c>
      <c r="D13" s="55">
        <v>38</v>
      </c>
      <c r="E13" s="55">
        <v>28</v>
      </c>
      <c r="F13" s="55">
        <v>37</v>
      </c>
      <c r="G13" s="55">
        <v>2</v>
      </c>
      <c r="H13" s="61">
        <f t="shared" si="0"/>
        <v>97.368421052631575</v>
      </c>
      <c r="I13" s="61">
        <f t="shared" si="1"/>
        <v>7.1428571428571423</v>
      </c>
    </row>
    <row r="14" spans="2:9" ht="15.75" customHeight="1" x14ac:dyDescent="0.25">
      <c r="B14" s="52" t="s">
        <v>252</v>
      </c>
      <c r="C14" s="53" t="s">
        <v>489</v>
      </c>
      <c r="D14" s="55">
        <v>967568</v>
      </c>
      <c r="E14" s="55">
        <v>852353</v>
      </c>
      <c r="F14" s="55">
        <v>975452</v>
      </c>
      <c r="G14" s="55">
        <v>861493</v>
      </c>
      <c r="H14" s="61">
        <f t="shared" si="0"/>
        <v>100.81482645147422</v>
      </c>
      <c r="I14" s="61">
        <f t="shared" si="1"/>
        <v>101.07232566788642</v>
      </c>
    </row>
    <row r="15" spans="2:9" ht="15.75" customHeight="1" x14ac:dyDescent="0.25">
      <c r="B15" s="52" t="s">
        <v>253</v>
      </c>
      <c r="C15" s="53" t="s">
        <v>490</v>
      </c>
      <c r="D15" s="55">
        <v>7740156</v>
      </c>
      <c r="E15" s="55">
        <v>418532</v>
      </c>
      <c r="F15" s="55">
        <v>7713355</v>
      </c>
      <c r="G15" s="55">
        <v>419642</v>
      </c>
      <c r="H15" s="61">
        <f t="shared" si="0"/>
        <v>99.653740828996206</v>
      </c>
      <c r="I15" s="61">
        <f t="shared" si="1"/>
        <v>100.26521269580341</v>
      </c>
    </row>
    <row r="16" spans="2:9" ht="24.95" customHeight="1" x14ac:dyDescent="0.25">
      <c r="B16" s="259"/>
      <c r="C16" s="259" t="s">
        <v>491</v>
      </c>
      <c r="D16" s="56">
        <f>SUM(D9:D15)</f>
        <v>39803441</v>
      </c>
      <c r="E16" s="56">
        <f t="shared" ref="E16:G16" si="2">SUM(E9:E15)</f>
        <v>14715074</v>
      </c>
      <c r="F16" s="56">
        <f t="shared" si="2"/>
        <v>39831628</v>
      </c>
      <c r="G16" s="56">
        <f t="shared" si="2"/>
        <v>15087871</v>
      </c>
      <c r="H16" s="59">
        <f t="shared" si="0"/>
        <v>100.07081548552547</v>
      </c>
      <c r="I16" s="59">
        <f t="shared" si="1"/>
        <v>102.5334361213542</v>
      </c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L25"/>
  <sheetViews>
    <sheetView workbookViewId="0"/>
  </sheetViews>
  <sheetFormatPr defaultRowHeight="15" x14ac:dyDescent="0.25"/>
  <cols>
    <col min="3" max="3" width="40" customWidth="1"/>
    <col min="4" max="4" width="17.85546875" customWidth="1"/>
    <col min="5" max="5" width="13" customWidth="1"/>
    <col min="6" max="6" width="15.5703125" customWidth="1"/>
    <col min="7" max="7" width="13.85546875" customWidth="1"/>
    <col min="8" max="8" width="10.85546875" customWidth="1"/>
    <col min="10" max="10" width="9.85546875" bestFit="1" customWidth="1"/>
    <col min="12" max="12" width="10.140625" bestFit="1" customWidth="1"/>
  </cols>
  <sheetData>
    <row r="3" spans="2:12" ht="16.5" thickBot="1" x14ac:dyDescent="0.3">
      <c r="B3" s="47"/>
      <c r="C3" s="47"/>
      <c r="D3" s="47"/>
      <c r="E3" s="47"/>
      <c r="F3" s="47"/>
      <c r="G3" s="47"/>
      <c r="H3" s="174" t="s">
        <v>261</v>
      </c>
    </row>
    <row r="4" spans="2:12" ht="24.95" customHeight="1" thickTop="1" x14ac:dyDescent="0.25">
      <c r="B4" s="454" t="s">
        <v>1341</v>
      </c>
      <c r="C4" s="454"/>
      <c r="D4" s="454"/>
      <c r="E4" s="454"/>
      <c r="F4" s="454"/>
      <c r="G4" s="454"/>
      <c r="H4" s="454"/>
    </row>
    <row r="5" spans="2:12" ht="15.75" x14ac:dyDescent="0.25">
      <c r="B5" s="448" t="s">
        <v>100</v>
      </c>
      <c r="C5" s="450" t="s">
        <v>611</v>
      </c>
      <c r="D5" s="450" t="s">
        <v>601</v>
      </c>
      <c r="E5" s="450"/>
      <c r="F5" s="450" t="s">
        <v>602</v>
      </c>
      <c r="G5" s="450"/>
      <c r="H5" s="84" t="s">
        <v>1</v>
      </c>
    </row>
    <row r="6" spans="2:12" ht="15.75" x14ac:dyDescent="0.25">
      <c r="B6" s="448"/>
      <c r="C6" s="450"/>
      <c r="D6" s="84" t="s">
        <v>2</v>
      </c>
      <c r="E6" s="84" t="s">
        <v>20</v>
      </c>
      <c r="F6" s="84" t="s">
        <v>2</v>
      </c>
      <c r="G6" s="84" t="s">
        <v>20</v>
      </c>
      <c r="H6" s="84" t="s">
        <v>333</v>
      </c>
    </row>
    <row r="7" spans="2:12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2" ht="20.100000000000001" customHeight="1" x14ac:dyDescent="0.25">
      <c r="B8" s="87" t="s">
        <v>247</v>
      </c>
      <c r="C8" s="103" t="s">
        <v>137</v>
      </c>
      <c r="D8" s="89">
        <v>19793707</v>
      </c>
      <c r="E8" s="90">
        <f>D8/D$15*100</f>
        <v>75.732144669744386</v>
      </c>
      <c r="F8" s="89">
        <v>19753226</v>
      </c>
      <c r="G8" s="90">
        <f>F8/F15*100</f>
        <v>76.136509314541826</v>
      </c>
      <c r="H8" s="91">
        <f>F8/D8*100</f>
        <v>99.795485504559608</v>
      </c>
      <c r="J8" s="14"/>
      <c r="L8" s="14"/>
    </row>
    <row r="9" spans="2:12" ht="20.100000000000001" customHeight="1" x14ac:dyDescent="0.25">
      <c r="B9" s="87" t="s">
        <v>248</v>
      </c>
      <c r="C9" s="103" t="s">
        <v>138</v>
      </c>
      <c r="D9" s="89">
        <v>955882</v>
      </c>
      <c r="E9" s="90">
        <f t="shared" ref="E9:E14" si="0">D9/D$15*100</f>
        <v>3.6572731884535123</v>
      </c>
      <c r="F9" s="89">
        <v>850778</v>
      </c>
      <c r="G9" s="90">
        <f>F9/F15*100</f>
        <v>3.2792247262096459</v>
      </c>
      <c r="H9" s="91">
        <f t="shared" ref="H9:H15" si="1">F9/D9*100</f>
        <v>89.004500555507889</v>
      </c>
      <c r="J9" s="14"/>
      <c r="L9" s="14"/>
    </row>
    <row r="10" spans="2:12" ht="20.100000000000001" customHeight="1" x14ac:dyDescent="0.25">
      <c r="B10" s="87" t="s">
        <v>249</v>
      </c>
      <c r="C10" s="103" t="s">
        <v>139</v>
      </c>
      <c r="D10" s="89">
        <v>2329393</v>
      </c>
      <c r="E10" s="90">
        <f t="shared" si="0"/>
        <v>8.9124249272099405</v>
      </c>
      <c r="F10" s="89">
        <v>2388596</v>
      </c>
      <c r="G10" s="90">
        <f>F10/F15*100</f>
        <v>9.2065651252447243</v>
      </c>
      <c r="H10" s="91">
        <f t="shared" si="1"/>
        <v>102.54156340299812</v>
      </c>
      <c r="J10" s="14"/>
      <c r="L10" s="14"/>
    </row>
    <row r="11" spans="2:12" ht="20.100000000000001" customHeight="1" x14ac:dyDescent="0.25">
      <c r="B11" s="450" t="s">
        <v>502</v>
      </c>
      <c r="C11" s="450"/>
      <c r="D11" s="92">
        <f>SUM(D8:D10)</f>
        <v>23078982</v>
      </c>
      <c r="E11" s="152">
        <f t="shared" si="0"/>
        <v>88.301842785407842</v>
      </c>
      <c r="F11" s="92">
        <f>SUM(F8:F10)</f>
        <v>22992600</v>
      </c>
      <c r="G11" s="152">
        <f>F11/F15*100</f>
        <v>88.622299165996196</v>
      </c>
      <c r="H11" s="93">
        <f t="shared" si="1"/>
        <v>99.625711394029423</v>
      </c>
      <c r="J11" s="14"/>
      <c r="L11" s="14"/>
    </row>
    <row r="12" spans="2:12" ht="20.100000000000001" customHeight="1" x14ac:dyDescent="0.25">
      <c r="B12" s="87" t="s">
        <v>250</v>
      </c>
      <c r="C12" s="103" t="s">
        <v>140</v>
      </c>
      <c r="D12" s="89">
        <v>2968888</v>
      </c>
      <c r="E12" s="90">
        <f t="shared" si="0"/>
        <v>11.359178729091427</v>
      </c>
      <c r="F12" s="89">
        <v>2856683</v>
      </c>
      <c r="G12" s="90">
        <f>F12/F15*100</f>
        <v>11.010751957082517</v>
      </c>
      <c r="H12" s="91">
        <f t="shared" si="1"/>
        <v>96.220638838514631</v>
      </c>
      <c r="J12" s="14"/>
      <c r="L12" s="25"/>
    </row>
    <row r="13" spans="2:12" ht="20.100000000000001" customHeight="1" x14ac:dyDescent="0.25">
      <c r="B13" s="87" t="s">
        <v>251</v>
      </c>
      <c r="C13" s="103" t="s">
        <v>141</v>
      </c>
      <c r="D13" s="89">
        <v>88597</v>
      </c>
      <c r="E13" s="90">
        <f t="shared" si="0"/>
        <v>0.33897848550073734</v>
      </c>
      <c r="F13" s="89">
        <v>95203</v>
      </c>
      <c r="G13" s="90">
        <f>F13/F15*100</f>
        <v>0.36694887692128497</v>
      </c>
      <c r="H13" s="91">
        <f t="shared" si="1"/>
        <v>107.45623440974299</v>
      </c>
      <c r="J13" s="14"/>
      <c r="L13" s="14"/>
    </row>
    <row r="14" spans="2:12" ht="20.100000000000001" customHeight="1" x14ac:dyDescent="0.25">
      <c r="B14" s="450" t="s">
        <v>503</v>
      </c>
      <c r="C14" s="450"/>
      <c r="D14" s="92">
        <f>SUM(D12:D13)</f>
        <v>3057485</v>
      </c>
      <c r="E14" s="152">
        <f t="shared" si="0"/>
        <v>11.698157214592165</v>
      </c>
      <c r="F14" s="92">
        <f>SUM(F12:F13)</f>
        <v>2951886</v>
      </c>
      <c r="G14" s="152">
        <f>F14/F15*100</f>
        <v>11.377700834003804</v>
      </c>
      <c r="H14" s="93">
        <f t="shared" si="1"/>
        <v>96.546213636371064</v>
      </c>
      <c r="J14" s="14"/>
      <c r="L14" s="14"/>
    </row>
    <row r="15" spans="2:12" ht="20.100000000000001" customHeight="1" x14ac:dyDescent="0.25">
      <c r="B15" s="450" t="s">
        <v>504</v>
      </c>
      <c r="C15" s="450"/>
      <c r="D15" s="92">
        <f t="shared" ref="D15:E15" si="2">D11+D14</f>
        <v>26136467</v>
      </c>
      <c r="E15" s="84">
        <f t="shared" si="2"/>
        <v>100</v>
      </c>
      <c r="F15" s="92">
        <f>F11+F14</f>
        <v>25944486</v>
      </c>
      <c r="G15" s="93">
        <f>G11+G14</f>
        <v>100</v>
      </c>
      <c r="H15" s="93">
        <f t="shared" si="1"/>
        <v>99.265466904918711</v>
      </c>
      <c r="J15" s="14"/>
      <c r="L15" s="14"/>
    </row>
    <row r="16" spans="2:12" x14ac:dyDescent="0.25">
      <c r="B16" s="305" t="s">
        <v>612</v>
      </c>
      <c r="G16" s="26"/>
    </row>
    <row r="18" spans="4:4" x14ac:dyDescent="0.25">
      <c r="D18" s="14"/>
    </row>
    <row r="19" spans="4:4" x14ac:dyDescent="0.25">
      <c r="D19" s="14"/>
    </row>
    <row r="20" spans="4:4" x14ac:dyDescent="0.25">
      <c r="D20" s="14"/>
    </row>
    <row r="21" spans="4:4" x14ac:dyDescent="0.25">
      <c r="D21" s="14"/>
    </row>
    <row r="22" spans="4:4" x14ac:dyDescent="0.25">
      <c r="D22" s="14"/>
    </row>
    <row r="23" spans="4:4" x14ac:dyDescent="0.25">
      <c r="D23" s="14"/>
    </row>
    <row r="24" spans="4:4" x14ac:dyDescent="0.25">
      <c r="D24" s="14"/>
    </row>
    <row r="25" spans="4:4" x14ac:dyDescent="0.25">
      <c r="D25" s="14"/>
    </row>
  </sheetData>
  <mergeCells count="8">
    <mergeCell ref="B4:H4"/>
    <mergeCell ref="B5:B6"/>
    <mergeCell ref="B11:C11"/>
    <mergeCell ref="B14:C14"/>
    <mergeCell ref="B15:C15"/>
    <mergeCell ref="C5:C6"/>
    <mergeCell ref="D5:E5"/>
    <mergeCell ref="F5:G5"/>
  </mergeCells>
  <pageMargins left="0.7" right="0.7" top="0.75" bottom="0.75" header="0.3" footer="0.3"/>
  <pageSetup scale="71" fitToHeight="0" orientation="landscape" r:id="rId1"/>
  <ignoredErrors>
    <ignoredError sqref="F11" formulaRange="1"/>
    <ignoredError sqref="E11 D14:E14" formula="1"/>
    <ignoredError sqref="D11" formula="1" formulaRange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6320-7A75-4F7D-A2FA-42275311F2A9}">
  <dimension ref="B3:H24"/>
  <sheetViews>
    <sheetView workbookViewId="0"/>
  </sheetViews>
  <sheetFormatPr defaultRowHeight="15" x14ac:dyDescent="0.25"/>
  <cols>
    <col min="2" max="2" width="8.140625" customWidth="1"/>
    <col min="3" max="3" width="44.85546875" customWidth="1"/>
    <col min="4" max="4" width="18.42578125" customWidth="1"/>
    <col min="5" max="5" width="15" customWidth="1"/>
    <col min="6" max="6" width="15.85546875" customWidth="1"/>
    <col min="8" max="9" width="14.42578125" customWidth="1"/>
  </cols>
  <sheetData>
    <row r="3" spans="2:8" ht="16.5" thickBot="1" x14ac:dyDescent="0.3">
      <c r="B3" s="47"/>
      <c r="C3" s="47"/>
      <c r="D3" s="68"/>
      <c r="E3" s="68"/>
      <c r="F3" s="153" t="s">
        <v>268</v>
      </c>
    </row>
    <row r="4" spans="2:8" ht="24.95" customHeight="1" thickTop="1" x14ac:dyDescent="0.25">
      <c r="B4" s="454" t="s">
        <v>1342</v>
      </c>
      <c r="C4" s="454"/>
      <c r="D4" s="454"/>
      <c r="E4" s="454"/>
      <c r="F4" s="454"/>
    </row>
    <row r="5" spans="2:8" ht="15.75" x14ac:dyDescent="0.25">
      <c r="B5" s="448" t="s">
        <v>100</v>
      </c>
      <c r="C5" s="450" t="s">
        <v>112</v>
      </c>
      <c r="D5" s="84" t="s">
        <v>601</v>
      </c>
      <c r="E5" s="84" t="s">
        <v>602</v>
      </c>
      <c r="F5" s="84" t="s">
        <v>1</v>
      </c>
    </row>
    <row r="6" spans="2:8" ht="15.75" x14ac:dyDescent="0.25">
      <c r="B6" s="448"/>
      <c r="C6" s="450"/>
      <c r="D6" s="84" t="s">
        <v>2</v>
      </c>
      <c r="E6" s="84" t="s">
        <v>2</v>
      </c>
      <c r="F6" s="84" t="s">
        <v>48</v>
      </c>
    </row>
    <row r="7" spans="2:8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</row>
    <row r="8" spans="2:8" ht="15.75" x14ac:dyDescent="0.25">
      <c r="B8" s="98"/>
      <c r="C8" s="122" t="s">
        <v>142</v>
      </c>
      <c r="D8" s="88"/>
      <c r="E8" s="88"/>
      <c r="F8" s="97"/>
    </row>
    <row r="9" spans="2:8" ht="15.75" x14ac:dyDescent="0.25">
      <c r="B9" s="98" t="s">
        <v>247</v>
      </c>
      <c r="C9" s="103" t="s">
        <v>514</v>
      </c>
      <c r="D9" s="94">
        <v>11456277</v>
      </c>
      <c r="E9" s="94">
        <v>11111387</v>
      </c>
      <c r="F9" s="91">
        <f>E9/D9*100</f>
        <v>96.989510641196958</v>
      </c>
      <c r="H9" s="14"/>
    </row>
    <row r="10" spans="2:8" ht="15.75" x14ac:dyDescent="0.25">
      <c r="B10" s="98" t="s">
        <v>248</v>
      </c>
      <c r="C10" s="103" t="s">
        <v>366</v>
      </c>
      <c r="D10" s="94">
        <v>20346677</v>
      </c>
      <c r="E10" s="94">
        <v>20458467</v>
      </c>
      <c r="F10" s="91">
        <f t="shared" ref="F10:F20" si="0">E10/D10*100</f>
        <v>100.54942632647091</v>
      </c>
      <c r="H10" s="14"/>
    </row>
    <row r="11" spans="2:8" ht="15.75" x14ac:dyDescent="0.25">
      <c r="B11" s="98" t="s">
        <v>249</v>
      </c>
      <c r="C11" s="103" t="s">
        <v>367</v>
      </c>
      <c r="D11" s="94">
        <f>D9-D10</f>
        <v>-8890400</v>
      </c>
      <c r="E11" s="94">
        <f>E9-E10</f>
        <v>-9347080</v>
      </c>
      <c r="F11" s="91" t="s">
        <v>80</v>
      </c>
      <c r="H11" s="14"/>
    </row>
    <row r="12" spans="2:8" ht="15.75" x14ac:dyDescent="0.25">
      <c r="B12" s="118"/>
      <c r="C12" s="116" t="s">
        <v>544</v>
      </c>
      <c r="D12" s="180">
        <f>D9/D10</f>
        <v>0.56305395716460238</v>
      </c>
      <c r="E12" s="180">
        <f>E9/E10</f>
        <v>0.54311923762420711</v>
      </c>
      <c r="F12" s="93"/>
      <c r="H12" s="22"/>
    </row>
    <row r="13" spans="2:8" ht="16.350000000000001" customHeight="1" x14ac:dyDescent="0.25">
      <c r="B13" s="98"/>
      <c r="C13" s="122" t="s">
        <v>143</v>
      </c>
      <c r="D13" s="101"/>
      <c r="E13" s="101"/>
      <c r="F13" s="91"/>
    </row>
    <row r="14" spans="2:8" ht="15.75" x14ac:dyDescent="0.25">
      <c r="B14" s="98" t="s">
        <v>247</v>
      </c>
      <c r="C14" s="88" t="s">
        <v>514</v>
      </c>
      <c r="D14" s="94">
        <v>13135936</v>
      </c>
      <c r="E14" s="94">
        <v>12654380</v>
      </c>
      <c r="F14" s="91">
        <f t="shared" si="0"/>
        <v>96.33405643876462</v>
      </c>
      <c r="H14" s="14"/>
    </row>
    <row r="15" spans="2:8" ht="15.75" x14ac:dyDescent="0.25">
      <c r="B15" s="98" t="s">
        <v>248</v>
      </c>
      <c r="C15" s="88" t="s">
        <v>366</v>
      </c>
      <c r="D15" s="94">
        <v>21108710</v>
      </c>
      <c r="E15" s="94">
        <v>21011037</v>
      </c>
      <c r="F15" s="91">
        <f t="shared" si="0"/>
        <v>99.537285793399974</v>
      </c>
      <c r="H15" s="14"/>
    </row>
    <row r="16" spans="2:8" ht="15.75" x14ac:dyDescent="0.25">
      <c r="B16" s="98" t="s">
        <v>249</v>
      </c>
      <c r="C16" s="88" t="s">
        <v>367</v>
      </c>
      <c r="D16" s="94">
        <f>D14-D15</f>
        <v>-7972774</v>
      </c>
      <c r="E16" s="94">
        <f>E14-E15</f>
        <v>-8356657</v>
      </c>
      <c r="F16" s="91" t="s">
        <v>80</v>
      </c>
      <c r="H16" s="14"/>
    </row>
    <row r="17" spans="2:8" ht="15.75" x14ac:dyDescent="0.25">
      <c r="B17" s="279"/>
      <c r="C17" s="116" t="s">
        <v>544</v>
      </c>
      <c r="D17" s="180">
        <f>D14/D15</f>
        <v>0.6222993257285736</v>
      </c>
      <c r="E17" s="180">
        <f>E14/E15</f>
        <v>0.60227298633570536</v>
      </c>
      <c r="F17" s="93"/>
      <c r="H17" s="22"/>
    </row>
    <row r="18" spans="2:8" ht="16.5" customHeight="1" x14ac:dyDescent="0.25">
      <c r="B18" s="98"/>
      <c r="C18" s="122" t="s">
        <v>144</v>
      </c>
      <c r="D18" s="101"/>
      <c r="E18" s="101"/>
      <c r="F18" s="91"/>
    </row>
    <row r="19" spans="2:8" ht="15.75" x14ac:dyDescent="0.25">
      <c r="B19" s="98" t="s">
        <v>247</v>
      </c>
      <c r="C19" s="88" t="s">
        <v>514</v>
      </c>
      <c r="D19" s="94">
        <v>15078427</v>
      </c>
      <c r="E19" s="94">
        <v>14438187</v>
      </c>
      <c r="F19" s="91">
        <f t="shared" si="0"/>
        <v>95.753933749190139</v>
      </c>
      <c r="H19" s="14"/>
    </row>
    <row r="20" spans="2:8" ht="19.350000000000001" customHeight="1" x14ac:dyDescent="0.25">
      <c r="B20" s="98" t="s">
        <v>248</v>
      </c>
      <c r="C20" s="88" t="s">
        <v>366</v>
      </c>
      <c r="D20" s="94">
        <v>21956482</v>
      </c>
      <c r="E20" s="94">
        <v>21795798</v>
      </c>
      <c r="F20" s="91">
        <f t="shared" si="0"/>
        <v>99.268170556649281</v>
      </c>
      <c r="H20" s="14"/>
    </row>
    <row r="21" spans="2:8" ht="15.75" x14ac:dyDescent="0.25">
      <c r="B21" s="98" t="s">
        <v>249</v>
      </c>
      <c r="C21" s="88" t="s">
        <v>367</v>
      </c>
      <c r="D21" s="94">
        <f>D19-D20</f>
        <v>-6878055</v>
      </c>
      <c r="E21" s="94">
        <f>E19-E20</f>
        <v>-7357611</v>
      </c>
      <c r="F21" s="91" t="s">
        <v>80</v>
      </c>
      <c r="H21" s="14"/>
    </row>
    <row r="22" spans="2:8" ht="15" customHeight="1" x14ac:dyDescent="0.25">
      <c r="B22" s="279"/>
      <c r="C22" s="116" t="s">
        <v>544</v>
      </c>
      <c r="D22" s="180">
        <f>D19/D20</f>
        <v>0.68674148253804956</v>
      </c>
      <c r="E22" s="180">
        <f>E19/E20</f>
        <v>0.66242984083445811</v>
      </c>
      <c r="F22" s="93"/>
      <c r="H22" s="22"/>
    </row>
    <row r="24" spans="2:8" x14ac:dyDescent="0.25">
      <c r="B24" s="63"/>
    </row>
  </sheetData>
  <mergeCells count="3">
    <mergeCell ref="B4:F4"/>
    <mergeCell ref="B5:B6"/>
    <mergeCell ref="C5:C6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F14"/>
  <sheetViews>
    <sheetView workbookViewId="0"/>
  </sheetViews>
  <sheetFormatPr defaultRowHeight="15" x14ac:dyDescent="0.25"/>
  <cols>
    <col min="3" max="3" width="53.85546875" customWidth="1"/>
    <col min="4" max="4" width="22.85546875" customWidth="1"/>
    <col min="5" max="5" width="21.5703125" customWidth="1"/>
  </cols>
  <sheetData>
    <row r="3" spans="2:6" ht="16.5" thickBot="1" x14ac:dyDescent="0.3">
      <c r="B3" s="75"/>
      <c r="C3" s="75"/>
      <c r="D3" s="77"/>
      <c r="E3" s="145" t="s">
        <v>267</v>
      </c>
    </row>
    <row r="4" spans="2:6" ht="24.95" customHeight="1" thickTop="1" x14ac:dyDescent="0.25">
      <c r="B4" s="454" t="s">
        <v>1343</v>
      </c>
      <c r="C4" s="454"/>
      <c r="D4" s="454"/>
      <c r="E4" s="454"/>
    </row>
    <row r="5" spans="2:6" ht="15.75" x14ac:dyDescent="0.25">
      <c r="B5" s="170" t="s">
        <v>100</v>
      </c>
      <c r="C5" s="84" t="s">
        <v>462</v>
      </c>
      <c r="D5" s="84" t="s">
        <v>601</v>
      </c>
      <c r="E5" s="84" t="s">
        <v>602</v>
      </c>
    </row>
    <row r="6" spans="2:6" x14ac:dyDescent="0.25">
      <c r="B6" s="104">
        <v>1</v>
      </c>
      <c r="C6" s="86">
        <v>2</v>
      </c>
      <c r="D6" s="86">
        <v>3</v>
      </c>
      <c r="E6" s="86">
        <v>4</v>
      </c>
    </row>
    <row r="7" spans="2:6" ht="15.75" x14ac:dyDescent="0.25">
      <c r="B7" s="98" t="s">
        <v>247</v>
      </c>
      <c r="C7" s="95" t="s">
        <v>575</v>
      </c>
      <c r="D7" s="90">
        <v>22.779427953908822</v>
      </c>
      <c r="E7" s="90">
        <v>20.120667971381621</v>
      </c>
    </row>
    <row r="8" spans="2:6" ht="15.75" x14ac:dyDescent="0.25">
      <c r="B8" s="98" t="s">
        <v>248</v>
      </c>
      <c r="C8" s="88" t="s">
        <v>576</v>
      </c>
      <c r="D8" s="90">
        <v>30.944965502727911</v>
      </c>
      <c r="E8" s="90">
        <v>27.409757236738692</v>
      </c>
    </row>
    <row r="9" spans="2:6" ht="15.75" x14ac:dyDescent="0.25">
      <c r="B9" s="98" t="s">
        <v>249</v>
      </c>
      <c r="C9" s="88" t="s">
        <v>574</v>
      </c>
      <c r="D9" s="90">
        <v>73.177036102406092</v>
      </c>
      <c r="E9" s="90">
        <v>76.095831867870245</v>
      </c>
    </row>
    <row r="10" spans="2:6" ht="15.75" x14ac:dyDescent="0.25">
      <c r="B10" s="98" t="s">
        <v>250</v>
      </c>
      <c r="C10" s="88" t="s">
        <v>577</v>
      </c>
      <c r="D10" s="90">
        <v>70.917623808445128</v>
      </c>
      <c r="E10" s="90">
        <v>73.766493198273395</v>
      </c>
    </row>
    <row r="11" spans="2:6" ht="31.5" x14ac:dyDescent="0.25">
      <c r="B11" s="87" t="s">
        <v>251</v>
      </c>
      <c r="C11" s="88" t="s">
        <v>560</v>
      </c>
      <c r="D11" s="90">
        <v>84.100109305883166</v>
      </c>
      <c r="E11" s="90">
        <v>83.301609028748715</v>
      </c>
    </row>
    <row r="12" spans="2:6" ht="15.75" x14ac:dyDescent="0.25">
      <c r="B12" s="110"/>
      <c r="C12" s="111"/>
      <c r="D12" s="111"/>
      <c r="E12" s="111"/>
    </row>
    <row r="13" spans="2:6" ht="15.75" x14ac:dyDescent="0.25">
      <c r="B13" s="63"/>
      <c r="C13" s="63"/>
      <c r="D13" s="178"/>
      <c r="E13" s="178"/>
      <c r="F13" s="2"/>
    </row>
    <row r="14" spans="2:6" ht="15.75" x14ac:dyDescent="0.25">
      <c r="C14" s="2"/>
      <c r="D14" s="2"/>
      <c r="E14" s="2"/>
      <c r="F14" s="2"/>
    </row>
  </sheetData>
  <mergeCells count="1">
    <mergeCell ref="B4:E4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O34"/>
  <sheetViews>
    <sheetView workbookViewId="0"/>
  </sheetViews>
  <sheetFormatPr defaultRowHeight="15" x14ac:dyDescent="0.25"/>
  <cols>
    <col min="2" max="2" width="7.28515625" customWidth="1"/>
    <col min="3" max="3" width="26.57031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0.7109375" bestFit="1" customWidth="1"/>
  </cols>
  <sheetData>
    <row r="3" spans="2:15" ht="16.5" thickBot="1" x14ac:dyDescent="0.3">
      <c r="B3" s="75"/>
      <c r="C3" s="76" t="s">
        <v>150</v>
      </c>
      <c r="D3" s="77"/>
      <c r="E3" s="77"/>
      <c r="F3" s="77"/>
      <c r="G3" s="77"/>
      <c r="H3" s="77"/>
      <c r="I3" s="77"/>
      <c r="J3" s="77"/>
      <c r="K3" s="77"/>
      <c r="L3" s="181" t="s">
        <v>269</v>
      </c>
      <c r="M3" s="75"/>
    </row>
    <row r="4" spans="2:15" ht="24.95" customHeight="1" thickTop="1" x14ac:dyDescent="0.25">
      <c r="B4" s="454" t="s">
        <v>1344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</row>
    <row r="5" spans="2:15" ht="15.75" x14ac:dyDescent="0.25">
      <c r="B5" s="448" t="s">
        <v>100</v>
      </c>
      <c r="C5" s="450" t="s">
        <v>112</v>
      </c>
      <c r="D5" s="450" t="s">
        <v>601</v>
      </c>
      <c r="E5" s="450"/>
      <c r="F5" s="450"/>
      <c r="G5" s="450"/>
      <c r="H5" s="450" t="s">
        <v>602</v>
      </c>
      <c r="I5" s="450"/>
      <c r="J5" s="450"/>
      <c r="K5" s="450"/>
      <c r="L5" s="450" t="s">
        <v>1</v>
      </c>
      <c r="M5" s="450"/>
    </row>
    <row r="6" spans="2:15" ht="15.75" x14ac:dyDescent="0.25">
      <c r="B6" s="448"/>
      <c r="C6" s="450"/>
      <c r="D6" s="450" t="s">
        <v>145</v>
      </c>
      <c r="E6" s="450"/>
      <c r="F6" s="450" t="s">
        <v>18</v>
      </c>
      <c r="G6" s="450"/>
      <c r="H6" s="450" t="s">
        <v>145</v>
      </c>
      <c r="I6" s="450"/>
      <c r="J6" s="450" t="s">
        <v>18</v>
      </c>
      <c r="K6" s="450"/>
      <c r="L6" s="84" t="s">
        <v>145</v>
      </c>
      <c r="M6" s="84" t="s">
        <v>18</v>
      </c>
    </row>
    <row r="7" spans="2:15" ht="15.75" x14ac:dyDescent="0.25">
      <c r="B7" s="448"/>
      <c r="C7" s="450"/>
      <c r="D7" s="84" t="s">
        <v>2</v>
      </c>
      <c r="E7" s="84" t="s">
        <v>20</v>
      </c>
      <c r="F7" s="84" t="s">
        <v>2</v>
      </c>
      <c r="G7" s="84" t="s">
        <v>20</v>
      </c>
      <c r="H7" s="84" t="s">
        <v>2</v>
      </c>
      <c r="I7" s="84" t="s">
        <v>20</v>
      </c>
      <c r="J7" s="84" t="s">
        <v>2</v>
      </c>
      <c r="K7" s="84" t="s">
        <v>20</v>
      </c>
      <c r="L7" s="84" t="s">
        <v>369</v>
      </c>
      <c r="M7" s="84" t="s">
        <v>370</v>
      </c>
    </row>
    <row r="8" spans="2:15" x14ac:dyDescent="0.25">
      <c r="B8" s="85">
        <v>1</v>
      </c>
      <c r="C8" s="86">
        <v>2</v>
      </c>
      <c r="D8" s="86">
        <v>3</v>
      </c>
      <c r="E8" s="86">
        <v>4</v>
      </c>
      <c r="F8" s="86">
        <v>5</v>
      </c>
      <c r="G8" s="86">
        <v>6</v>
      </c>
      <c r="H8" s="86">
        <v>7</v>
      </c>
      <c r="I8" s="86">
        <v>8</v>
      </c>
      <c r="J8" s="86">
        <v>9</v>
      </c>
      <c r="K8" s="86">
        <v>10</v>
      </c>
      <c r="L8" s="86">
        <v>11</v>
      </c>
      <c r="M8" s="86">
        <v>12</v>
      </c>
    </row>
    <row r="9" spans="2:15" ht="31.5" x14ac:dyDescent="0.25">
      <c r="B9" s="98"/>
      <c r="C9" s="122" t="s">
        <v>511</v>
      </c>
      <c r="D9" s="97"/>
      <c r="E9" s="101"/>
      <c r="F9" s="97"/>
      <c r="G9" s="88"/>
      <c r="H9" s="88"/>
      <c r="I9" s="97"/>
      <c r="J9" s="101"/>
      <c r="K9" s="101"/>
      <c r="L9" s="101"/>
      <c r="M9" s="97"/>
    </row>
    <row r="10" spans="2:15" ht="20.100000000000001" customHeight="1" x14ac:dyDescent="0.25">
      <c r="B10" s="98" t="s">
        <v>247</v>
      </c>
      <c r="C10" s="88" t="s">
        <v>516</v>
      </c>
      <c r="D10" s="94">
        <v>2595</v>
      </c>
      <c r="E10" s="90">
        <f>D10/D$15*100</f>
        <v>27.147191128779163</v>
      </c>
      <c r="F10" s="94">
        <v>3319</v>
      </c>
      <c r="G10" s="90">
        <f>F10/F$15*100</f>
        <v>31.97495183044316</v>
      </c>
      <c r="H10" s="94">
        <v>2590.797</v>
      </c>
      <c r="I10" s="90">
        <f>H10/H15*100</f>
        <v>27.151622937006646</v>
      </c>
      <c r="J10" s="94">
        <v>3263.4160000000002</v>
      </c>
      <c r="K10" s="90">
        <f>J10/J15*100</f>
        <v>31.701218500504936</v>
      </c>
      <c r="L10" s="91">
        <f>H10/D10*100</f>
        <v>99.838034682080917</v>
      </c>
      <c r="M10" s="91">
        <f>J10/F10*100</f>
        <v>98.325278698403139</v>
      </c>
      <c r="O10" s="25"/>
    </row>
    <row r="11" spans="2:15" ht="18.600000000000001" customHeight="1" x14ac:dyDescent="0.25">
      <c r="B11" s="98" t="s">
        <v>248</v>
      </c>
      <c r="C11" s="88" t="s">
        <v>329</v>
      </c>
      <c r="D11" s="94">
        <v>387</v>
      </c>
      <c r="E11" s="90">
        <f t="shared" ref="E11:E14" si="0">D11/D$15*100</f>
        <v>4.0485406423266035</v>
      </c>
      <c r="F11" s="94">
        <v>387</v>
      </c>
      <c r="G11" s="90">
        <f t="shared" ref="G11:G14" si="1">F11/F$15*100</f>
        <v>3.7283236994219657</v>
      </c>
      <c r="H11" s="94">
        <v>391.18599999999998</v>
      </c>
      <c r="I11" s="90">
        <f>H11/H15*100</f>
        <v>4.0996399062666358</v>
      </c>
      <c r="J11" s="94">
        <v>391.36099999999999</v>
      </c>
      <c r="K11" s="90">
        <f>J11/J15*100</f>
        <v>3.8017281810152648</v>
      </c>
      <c r="L11" s="91">
        <f t="shared" ref="L11:L15" si="2">H11/D11*100</f>
        <v>101.08165374677003</v>
      </c>
      <c r="M11" s="91">
        <f t="shared" ref="M11:M15" si="3">J11/F11*100</f>
        <v>101.12687338501291</v>
      </c>
      <c r="O11" s="25"/>
    </row>
    <row r="12" spans="2:15" ht="23.1" customHeight="1" x14ac:dyDescent="0.25">
      <c r="B12" s="98" t="s">
        <v>249</v>
      </c>
      <c r="C12" s="88" t="s">
        <v>384</v>
      </c>
      <c r="D12" s="94">
        <v>4462</v>
      </c>
      <c r="E12" s="90">
        <f t="shared" si="0"/>
        <v>46.678522858039543</v>
      </c>
      <c r="F12" s="94">
        <v>4462</v>
      </c>
      <c r="G12" s="90">
        <f t="shared" si="1"/>
        <v>42.98651252408478</v>
      </c>
      <c r="H12" s="94">
        <v>4424.3630000000003</v>
      </c>
      <c r="I12" s="90">
        <f>H12/H15*100</f>
        <v>46.36744442441595</v>
      </c>
      <c r="J12" s="94">
        <v>4424.4260000000004</v>
      </c>
      <c r="K12" s="90">
        <f>J12/J15*100</f>
        <v>42.979410337301488</v>
      </c>
      <c r="L12" s="91">
        <f t="shared" si="2"/>
        <v>99.156499327655766</v>
      </c>
      <c r="M12" s="91">
        <f t="shared" si="3"/>
        <v>99.157911250560289</v>
      </c>
      <c r="O12" s="25"/>
    </row>
    <row r="13" spans="2:15" ht="17.45" customHeight="1" x14ac:dyDescent="0.25">
      <c r="B13" s="98" t="s">
        <v>250</v>
      </c>
      <c r="C13" s="88" t="s">
        <v>46</v>
      </c>
      <c r="D13" s="94">
        <v>2038</v>
      </c>
      <c r="E13" s="90">
        <f t="shared" si="0"/>
        <v>21.320221780520974</v>
      </c>
      <c r="F13" s="94">
        <v>2135</v>
      </c>
      <c r="G13" s="90">
        <f t="shared" si="1"/>
        <v>20.568400770712909</v>
      </c>
      <c r="H13" s="94">
        <v>2060.7260000000001</v>
      </c>
      <c r="I13" s="90">
        <f>H13/H15*100</f>
        <v>21.596464458035875</v>
      </c>
      <c r="J13" s="94">
        <v>2140.201</v>
      </c>
      <c r="K13" s="90">
        <f>J13/J15*100</f>
        <v>20.790171873888948</v>
      </c>
      <c r="L13" s="91">
        <f t="shared" si="2"/>
        <v>101.11511285574093</v>
      </c>
      <c r="M13" s="91">
        <f t="shared" si="3"/>
        <v>100.24360655737705</v>
      </c>
      <c r="O13" s="25"/>
    </row>
    <row r="14" spans="2:15" ht="22.35" customHeight="1" x14ac:dyDescent="0.25">
      <c r="B14" s="98" t="s">
        <v>251</v>
      </c>
      <c r="C14" s="88" t="s">
        <v>589</v>
      </c>
      <c r="D14" s="94">
        <v>77</v>
      </c>
      <c r="E14" s="90">
        <f t="shared" si="0"/>
        <v>0.80552359033371701</v>
      </c>
      <c r="F14" s="94">
        <v>77</v>
      </c>
      <c r="G14" s="90">
        <f t="shared" si="1"/>
        <v>0.74181117533718688</v>
      </c>
      <c r="H14" s="94">
        <v>74.888000000000005</v>
      </c>
      <c r="I14" s="90">
        <f>H14/H15*100</f>
        <v>0.78482827427488688</v>
      </c>
      <c r="J14" s="94">
        <v>74.888000000000005</v>
      </c>
      <c r="K14" s="90">
        <f>J14/J15*100</f>
        <v>0.72747110728935993</v>
      </c>
      <c r="L14" s="91">
        <f t="shared" si="2"/>
        <v>97.257142857142867</v>
      </c>
      <c r="M14" s="91">
        <f t="shared" si="3"/>
        <v>97.257142857142867</v>
      </c>
      <c r="O14" s="25"/>
    </row>
    <row r="15" spans="2:15" ht="23.25" customHeight="1" x14ac:dyDescent="0.25">
      <c r="B15" s="450" t="s">
        <v>591</v>
      </c>
      <c r="C15" s="450"/>
      <c r="D15" s="107">
        <f t="shared" ref="D15:K15" si="4">SUM(D10:D14)</f>
        <v>9559</v>
      </c>
      <c r="E15" s="93">
        <f t="shared" si="4"/>
        <v>100.00000000000001</v>
      </c>
      <c r="F15" s="107">
        <f t="shared" si="4"/>
        <v>10380</v>
      </c>
      <c r="G15" s="93">
        <f t="shared" si="4"/>
        <v>100.00000000000001</v>
      </c>
      <c r="H15" s="107">
        <f t="shared" si="4"/>
        <v>9541.9600000000009</v>
      </c>
      <c r="I15" s="93">
        <f t="shared" si="4"/>
        <v>99.999999999999986</v>
      </c>
      <c r="J15" s="107">
        <f t="shared" si="4"/>
        <v>10294.292000000001</v>
      </c>
      <c r="K15" s="93">
        <f t="shared" si="4"/>
        <v>100</v>
      </c>
      <c r="L15" s="93">
        <f t="shared" si="2"/>
        <v>99.821738675593693</v>
      </c>
      <c r="M15" s="93">
        <f t="shared" si="3"/>
        <v>99.174296724470139</v>
      </c>
      <c r="O15" s="25"/>
    </row>
    <row r="16" spans="2:15" ht="19.350000000000001" customHeight="1" x14ac:dyDescent="0.25">
      <c r="B16" s="98"/>
      <c r="C16" s="469" t="s">
        <v>448</v>
      </c>
      <c r="D16" s="469"/>
      <c r="E16" s="101"/>
      <c r="F16" s="94"/>
      <c r="G16" s="101"/>
      <c r="H16" s="94"/>
      <c r="I16" s="101"/>
      <c r="J16" s="94"/>
      <c r="K16" s="101"/>
      <c r="L16" s="91"/>
      <c r="M16" s="91"/>
      <c r="O16" s="25"/>
    </row>
    <row r="17" spans="2:15" ht="22.35" customHeight="1" x14ac:dyDescent="0.25">
      <c r="B17" s="98" t="s">
        <v>252</v>
      </c>
      <c r="C17" s="88" t="s">
        <v>23</v>
      </c>
      <c r="D17" s="94">
        <v>6205</v>
      </c>
      <c r="E17" s="90">
        <f>D17/D$21*100</f>
        <v>66.003616636528022</v>
      </c>
      <c r="F17" s="94">
        <v>7015</v>
      </c>
      <c r="G17" s="90">
        <f>F17/F$21*100</f>
        <v>68.646638614345818</v>
      </c>
      <c r="H17" s="94">
        <v>6078.3469999999998</v>
      </c>
      <c r="I17" s="90">
        <f>H17/H$21*100</f>
        <v>65.017062528232088</v>
      </c>
      <c r="J17" s="94">
        <v>6852.8530000000001</v>
      </c>
      <c r="K17" s="90">
        <f>J17/J21*100</f>
        <v>67.616665176759255</v>
      </c>
      <c r="L17" s="91">
        <f>H17/D17*100</f>
        <v>97.958855761482667</v>
      </c>
      <c r="M17" s="91">
        <f>J17/F17*100</f>
        <v>97.688567355666436</v>
      </c>
      <c r="O17" s="25"/>
    </row>
    <row r="18" spans="2:15" ht="20.45" customHeight="1" x14ac:dyDescent="0.25">
      <c r="B18" s="98" t="s">
        <v>253</v>
      </c>
      <c r="C18" s="88" t="s">
        <v>368</v>
      </c>
      <c r="D18" s="94">
        <v>807</v>
      </c>
      <c r="E18" s="90">
        <f t="shared" ref="E18:E20" si="5">D18/D$21*100</f>
        <v>8.5841931709392618</v>
      </c>
      <c r="F18" s="94">
        <v>807</v>
      </c>
      <c r="G18" s="90">
        <f t="shared" ref="G18:G20" si="6">F18/F$21*100</f>
        <v>7.8970545063117719</v>
      </c>
      <c r="H18" s="94">
        <v>795.774</v>
      </c>
      <c r="I18" s="90">
        <f t="shared" ref="I18:I20" si="7">H18/H$21*100</f>
        <v>8.5119997124779747</v>
      </c>
      <c r="J18" s="94">
        <v>795.774</v>
      </c>
      <c r="K18" s="90">
        <f>J18/J21*100</f>
        <v>7.8518515010274443</v>
      </c>
      <c r="L18" s="91">
        <f t="shared" ref="L18:L21" si="8">H18/D18*100</f>
        <v>98.608921933085497</v>
      </c>
      <c r="M18" s="91">
        <f t="shared" ref="M18:M21" si="9">J18/F18*100</f>
        <v>98.608921933085497</v>
      </c>
      <c r="O18" s="25"/>
    </row>
    <row r="19" spans="2:15" ht="19.350000000000001" customHeight="1" x14ac:dyDescent="0.25">
      <c r="B19" s="98" t="s">
        <v>254</v>
      </c>
      <c r="C19" s="88" t="s">
        <v>590</v>
      </c>
      <c r="D19" s="94">
        <v>2006</v>
      </c>
      <c r="E19" s="90">
        <f t="shared" si="5"/>
        <v>21.338155515370705</v>
      </c>
      <c r="F19" s="94">
        <v>2006</v>
      </c>
      <c r="G19" s="90">
        <f t="shared" si="6"/>
        <v>19.630100792641159</v>
      </c>
      <c r="H19" s="94">
        <v>2013.0139999999999</v>
      </c>
      <c r="I19" s="90">
        <f t="shared" si="7"/>
        <v>21.532212147185177</v>
      </c>
      <c r="J19" s="94">
        <v>2013.0139999999999</v>
      </c>
      <c r="K19" s="90">
        <f>J19/J21*100</f>
        <v>19.862281247551767</v>
      </c>
      <c r="L19" s="91">
        <f t="shared" si="8"/>
        <v>100.34965104685942</v>
      </c>
      <c r="M19" s="91">
        <f t="shared" si="9"/>
        <v>100.34965104685942</v>
      </c>
      <c r="O19" s="25"/>
    </row>
    <row r="20" spans="2:15" ht="22.35" customHeight="1" x14ac:dyDescent="0.25">
      <c r="B20" s="98" t="s">
        <v>255</v>
      </c>
      <c r="C20" s="88" t="s">
        <v>46</v>
      </c>
      <c r="D20" s="94">
        <v>383</v>
      </c>
      <c r="E20" s="90">
        <f t="shared" si="5"/>
        <v>4.074034677162004</v>
      </c>
      <c r="F20" s="94">
        <v>391</v>
      </c>
      <c r="G20" s="90">
        <f t="shared" si="6"/>
        <v>3.8262060867012426</v>
      </c>
      <c r="H20" s="94">
        <v>461.714</v>
      </c>
      <c r="I20" s="90">
        <f t="shared" si="7"/>
        <v>4.9387256121047631</v>
      </c>
      <c r="J20" s="94">
        <v>473.21699999999998</v>
      </c>
      <c r="K20" s="90">
        <f>J20/J21*100</f>
        <v>4.6692020746615288</v>
      </c>
      <c r="L20" s="91">
        <f t="shared" si="8"/>
        <v>120.55195822454307</v>
      </c>
      <c r="M20" s="91">
        <f t="shared" si="9"/>
        <v>121.02736572890025</v>
      </c>
      <c r="O20" s="25"/>
    </row>
    <row r="21" spans="2:15" ht="22.35" customHeight="1" x14ac:dyDescent="0.25">
      <c r="B21" s="450" t="s">
        <v>592</v>
      </c>
      <c r="C21" s="450"/>
      <c r="D21" s="107">
        <f t="shared" ref="D21:K21" si="10">SUM(D17:D20)</f>
        <v>9401</v>
      </c>
      <c r="E21" s="93">
        <f t="shared" si="10"/>
        <v>99.999999999999986</v>
      </c>
      <c r="F21" s="107">
        <f t="shared" si="10"/>
        <v>10219</v>
      </c>
      <c r="G21" s="93">
        <f t="shared" si="10"/>
        <v>100</v>
      </c>
      <c r="H21" s="107">
        <f t="shared" si="10"/>
        <v>9348.8490000000002</v>
      </c>
      <c r="I21" s="93">
        <f t="shared" si="10"/>
        <v>100</v>
      </c>
      <c r="J21" s="107">
        <f t="shared" si="10"/>
        <v>10134.858</v>
      </c>
      <c r="K21" s="93">
        <f t="shared" si="10"/>
        <v>99.999999999999986</v>
      </c>
      <c r="L21" s="93">
        <f t="shared" si="8"/>
        <v>99.445261142431661</v>
      </c>
      <c r="M21" s="93">
        <f t="shared" si="9"/>
        <v>99.176612192973877</v>
      </c>
      <c r="O21" s="25"/>
    </row>
    <row r="22" spans="2:15" ht="21" customHeight="1" x14ac:dyDescent="0.25">
      <c r="B22" s="98"/>
      <c r="C22" s="469" t="s">
        <v>449</v>
      </c>
      <c r="D22" s="469"/>
      <c r="E22" s="88"/>
      <c r="F22" s="88"/>
      <c r="G22" s="88"/>
      <c r="H22" s="101"/>
      <c r="I22" s="101"/>
      <c r="J22" s="101"/>
      <c r="K22" s="101"/>
      <c r="L22" s="101"/>
      <c r="M22" s="101"/>
    </row>
    <row r="23" spans="2:15" ht="19.350000000000001" customHeight="1" x14ac:dyDescent="0.25">
      <c r="B23" s="98" t="s">
        <v>256</v>
      </c>
      <c r="C23" s="88" t="s">
        <v>515</v>
      </c>
      <c r="D23" s="101">
        <v>354</v>
      </c>
      <c r="E23" s="101"/>
      <c r="F23" s="101">
        <v>355</v>
      </c>
      <c r="G23" s="101"/>
      <c r="H23" s="91">
        <v>386.63600000000002</v>
      </c>
      <c r="I23" s="91"/>
      <c r="J23" s="91">
        <v>421.774</v>
      </c>
      <c r="K23" s="91"/>
      <c r="L23" s="91">
        <f>H23/D23*100</f>
        <v>109.21920903954802</v>
      </c>
      <c r="M23" s="91">
        <f>J23/F23*100</f>
        <v>118.80957746478873</v>
      </c>
    </row>
    <row r="24" spans="2:15" ht="17.100000000000001" customHeight="1" x14ac:dyDescent="0.25">
      <c r="B24" s="98" t="s">
        <v>257</v>
      </c>
      <c r="C24" s="88" t="s">
        <v>371</v>
      </c>
      <c r="D24" s="101">
        <v>343</v>
      </c>
      <c r="E24" s="101"/>
      <c r="F24" s="101">
        <v>345</v>
      </c>
      <c r="G24" s="101"/>
      <c r="H24" s="91">
        <v>525.39</v>
      </c>
      <c r="I24" s="91"/>
      <c r="J24" s="91">
        <v>525.71600000000001</v>
      </c>
      <c r="K24" s="91"/>
      <c r="L24" s="91">
        <f>H24/D24*100</f>
        <v>153.17492711370261</v>
      </c>
      <c r="M24" s="91">
        <f>J24/F24*100</f>
        <v>152.38144927536231</v>
      </c>
      <c r="O24" s="14"/>
    </row>
    <row r="25" spans="2:15" ht="20.100000000000001" customHeight="1" x14ac:dyDescent="0.25">
      <c r="B25" s="98"/>
      <c r="C25" s="122" t="s">
        <v>146</v>
      </c>
      <c r="D25" s="88"/>
      <c r="E25" s="88"/>
      <c r="F25" s="88"/>
      <c r="G25" s="88"/>
      <c r="H25" s="91"/>
      <c r="I25" s="91"/>
      <c r="J25" s="91"/>
      <c r="K25" s="91"/>
      <c r="L25" s="91"/>
      <c r="M25" s="91"/>
    </row>
    <row r="26" spans="2:15" ht="17.45" customHeight="1" x14ac:dyDescent="0.25">
      <c r="B26" s="98"/>
      <c r="C26" s="88" t="s">
        <v>147</v>
      </c>
      <c r="D26" s="101">
        <f>D15-D21+D23-D24</f>
        <v>169</v>
      </c>
      <c r="E26" s="88"/>
      <c r="F26" s="101">
        <f>F15-F21+F23-F24</f>
        <v>171</v>
      </c>
      <c r="G26" s="88"/>
      <c r="H26" s="91">
        <f>H15-H21+H23-H24</f>
        <v>54.357000000000767</v>
      </c>
      <c r="I26" s="91"/>
      <c r="J26" s="91">
        <f>J15-J21+J23-J24</f>
        <v>55.492000000001099</v>
      </c>
      <c r="K26" s="91"/>
      <c r="L26" s="91">
        <f>H26/D26*100</f>
        <v>32.16390532544424</v>
      </c>
      <c r="M26" s="91">
        <f>J26/F26*100</f>
        <v>32.451461988304736</v>
      </c>
      <c r="O26" s="288"/>
    </row>
    <row r="27" spans="2:15" ht="15.75" x14ac:dyDescent="0.25">
      <c r="B27" s="279"/>
      <c r="C27" s="280" t="s">
        <v>32</v>
      </c>
      <c r="D27" s="281">
        <v>4.5999999999999999E-2</v>
      </c>
      <c r="E27" s="280"/>
      <c r="F27" s="281">
        <v>4.7E-2</v>
      </c>
      <c r="G27" s="280"/>
      <c r="H27" s="281">
        <v>1.3980339512610648E-2</v>
      </c>
      <c r="I27" s="286"/>
      <c r="J27" s="281">
        <v>1.4272255647548431E-2</v>
      </c>
      <c r="K27" s="286"/>
      <c r="L27" s="286"/>
      <c r="M27" s="286"/>
      <c r="O27" s="289"/>
    </row>
    <row r="28" spans="2:15" ht="15.75" x14ac:dyDescent="0.25">
      <c r="B28" s="98"/>
      <c r="C28" s="88" t="s">
        <v>372</v>
      </c>
      <c r="D28" s="101"/>
      <c r="E28" s="101"/>
      <c r="F28" s="101"/>
      <c r="G28" s="88"/>
      <c r="H28" s="94"/>
      <c r="I28" s="101"/>
      <c r="J28" s="94"/>
      <c r="K28" s="101"/>
      <c r="L28" s="101"/>
      <c r="M28" s="101"/>
      <c r="O28" s="289"/>
    </row>
    <row r="29" spans="2:15" ht="15.75" x14ac:dyDescent="0.25">
      <c r="B29" s="98"/>
      <c r="C29" s="88" t="s">
        <v>32</v>
      </c>
      <c r="D29" s="101"/>
      <c r="E29" s="101"/>
      <c r="F29" s="101"/>
      <c r="G29" s="88"/>
      <c r="H29" s="179"/>
      <c r="I29" s="101"/>
      <c r="J29" s="179"/>
      <c r="K29" s="101"/>
      <c r="L29" s="101"/>
      <c r="M29" s="101"/>
    </row>
    <row r="30" spans="2:15" ht="18.600000000000001" customHeight="1" x14ac:dyDescent="0.25">
      <c r="B30" s="98"/>
      <c r="C30" s="88" t="s">
        <v>148</v>
      </c>
      <c r="D30" s="284">
        <v>0.4</v>
      </c>
      <c r="E30" s="285"/>
      <c r="F30" s="284">
        <v>0.4</v>
      </c>
      <c r="G30" s="285"/>
      <c r="H30" s="287">
        <v>0.4</v>
      </c>
      <c r="I30" s="285"/>
      <c r="J30" s="287">
        <v>0.4</v>
      </c>
      <c r="K30" s="285"/>
      <c r="L30" s="101"/>
      <c r="M30" s="101"/>
      <c r="O30" s="22"/>
    </row>
    <row r="31" spans="2:15" ht="19.350000000000001" customHeight="1" x14ac:dyDescent="0.25">
      <c r="B31" s="450" t="s">
        <v>149</v>
      </c>
      <c r="C31" s="450"/>
      <c r="D31" s="180">
        <f>D30-D27</f>
        <v>0.35400000000000004</v>
      </c>
      <c r="E31" s="180"/>
      <c r="F31" s="180">
        <f>F30-F27</f>
        <v>0.35300000000000004</v>
      </c>
      <c r="G31" s="84"/>
      <c r="H31" s="180">
        <f>H30-H27</f>
        <v>0.38601966048738939</v>
      </c>
      <c r="I31" s="84"/>
      <c r="J31" s="180">
        <f>J30-J27</f>
        <v>0.38572774435245161</v>
      </c>
      <c r="K31" s="84"/>
      <c r="L31" s="84"/>
      <c r="M31" s="84"/>
      <c r="O31" s="22"/>
    </row>
    <row r="32" spans="2:15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 E28:G29 E26 G26 E31 G31 G23:G24 G27 E30 G30 G25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H23"/>
  <sheetViews>
    <sheetView workbookViewId="0"/>
  </sheetViews>
  <sheetFormatPr defaultColWidth="9.140625"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7.140625" style="2" customWidth="1"/>
    <col min="5" max="5" width="16.5703125" style="2" customWidth="1"/>
    <col min="6" max="6" width="10.140625" style="2" customWidth="1"/>
    <col min="7" max="16384" width="9.140625" style="2"/>
  </cols>
  <sheetData>
    <row r="2" spans="2:8" x14ac:dyDescent="0.25">
      <c r="H2"/>
    </row>
    <row r="3" spans="2:8" ht="16.5" thickBot="1" x14ac:dyDescent="0.3">
      <c r="B3" s="123"/>
      <c r="C3" s="123"/>
      <c r="D3" s="123"/>
      <c r="E3" s="123"/>
      <c r="F3" s="145" t="s">
        <v>268</v>
      </c>
    </row>
    <row r="4" spans="2:8" ht="24.95" customHeight="1" thickTop="1" x14ac:dyDescent="0.25">
      <c r="B4" s="462" t="s">
        <v>1345</v>
      </c>
      <c r="C4" s="462"/>
      <c r="D4" s="462"/>
      <c r="E4" s="462"/>
      <c r="F4" s="462"/>
    </row>
    <row r="5" spans="2:8" x14ac:dyDescent="0.25">
      <c r="B5" s="443" t="s">
        <v>100</v>
      </c>
      <c r="C5" s="443" t="s">
        <v>56</v>
      </c>
      <c r="D5" s="443" t="s">
        <v>601</v>
      </c>
      <c r="E5" s="443" t="s">
        <v>602</v>
      </c>
      <c r="F5" s="50" t="s">
        <v>1</v>
      </c>
    </row>
    <row r="6" spans="2:8" x14ac:dyDescent="0.25">
      <c r="B6" s="443"/>
      <c r="C6" s="443"/>
      <c r="D6" s="443"/>
      <c r="E6" s="443"/>
      <c r="F6" s="50" t="s">
        <v>48</v>
      </c>
    </row>
    <row r="7" spans="2:8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</row>
    <row r="8" spans="2:8" ht="20.100000000000001" customHeight="1" x14ac:dyDescent="0.25">
      <c r="B8" s="52" t="s">
        <v>247</v>
      </c>
      <c r="C8" s="53" t="s">
        <v>416</v>
      </c>
      <c r="D8" s="55">
        <v>359684</v>
      </c>
      <c r="E8" s="55">
        <v>389621</v>
      </c>
      <c r="F8" s="61">
        <f>E8/D8*100</f>
        <v>108.32313919996442</v>
      </c>
    </row>
    <row r="9" spans="2:8" ht="20.100000000000001" customHeight="1" x14ac:dyDescent="0.25">
      <c r="B9" s="52" t="s">
        <v>248</v>
      </c>
      <c r="C9" s="53" t="s">
        <v>417</v>
      </c>
      <c r="D9" s="55">
        <v>75416</v>
      </c>
      <c r="E9" s="55">
        <v>83293</v>
      </c>
      <c r="F9" s="61">
        <f t="shared" ref="F9:F13" si="0">E9/D9*100</f>
        <v>110.44473321311128</v>
      </c>
    </row>
    <row r="10" spans="2:8" ht="20.100000000000001" customHeight="1" x14ac:dyDescent="0.25">
      <c r="B10" s="52" t="s">
        <v>249</v>
      </c>
      <c r="C10" s="53" t="s">
        <v>418</v>
      </c>
      <c r="D10" s="55">
        <v>0</v>
      </c>
      <c r="E10" s="55">
        <v>0</v>
      </c>
      <c r="F10" s="61" t="s">
        <v>80</v>
      </c>
    </row>
    <row r="11" spans="2:8" ht="20.100000000000001" customHeight="1" x14ac:dyDescent="0.25">
      <c r="B11" s="52" t="s">
        <v>250</v>
      </c>
      <c r="C11" s="53" t="s">
        <v>419</v>
      </c>
      <c r="D11" s="55">
        <v>-8576</v>
      </c>
      <c r="E11" s="55">
        <v>-8135</v>
      </c>
      <c r="F11" s="61">
        <f t="shared" si="0"/>
        <v>94.857742537313428</v>
      </c>
    </row>
    <row r="12" spans="2:8" ht="34.5" customHeight="1" x14ac:dyDescent="0.25">
      <c r="B12" s="50" t="s">
        <v>420</v>
      </c>
      <c r="C12" s="182" t="s">
        <v>421</v>
      </c>
      <c r="D12" s="56">
        <f>SUM(D8:D11)</f>
        <v>426524</v>
      </c>
      <c r="E12" s="56">
        <f>SUM(E8:E11)</f>
        <v>464779</v>
      </c>
      <c r="F12" s="59">
        <f t="shared" si="0"/>
        <v>108.96901463927</v>
      </c>
    </row>
    <row r="13" spans="2:8" ht="20.100000000000001" customHeight="1" x14ac:dyDescent="0.25">
      <c r="B13" s="52" t="s">
        <v>252</v>
      </c>
      <c r="C13" s="53" t="s">
        <v>57</v>
      </c>
      <c r="D13" s="55">
        <v>3679981</v>
      </c>
      <c r="E13" s="55">
        <v>3882439</v>
      </c>
      <c r="F13" s="61">
        <f t="shared" si="0"/>
        <v>105.50160449197972</v>
      </c>
    </row>
    <row r="14" spans="2:8" ht="30.75" customHeight="1" x14ac:dyDescent="0.25">
      <c r="B14" s="50" t="s">
        <v>422</v>
      </c>
      <c r="C14" s="49" t="s">
        <v>593</v>
      </c>
      <c r="D14" s="183">
        <f>D12/D13</f>
        <v>0.11590385928623001</v>
      </c>
      <c r="E14" s="183">
        <f>E12/E13</f>
        <v>0.11971314938882491</v>
      </c>
      <c r="F14" s="59"/>
    </row>
    <row r="17" spans="4:5" x14ac:dyDescent="0.25">
      <c r="D17" s="39"/>
      <c r="E17" s="39"/>
    </row>
    <row r="18" spans="4:5" x14ac:dyDescent="0.25">
      <c r="D18" s="39"/>
      <c r="E18" s="39"/>
    </row>
    <row r="20" spans="4:5" x14ac:dyDescent="0.25">
      <c r="D20" s="39"/>
      <c r="E20" s="39"/>
    </row>
    <row r="21" spans="4:5" x14ac:dyDescent="0.25">
      <c r="D21" s="39"/>
      <c r="E21" s="39"/>
    </row>
    <row r="22" spans="4:5" x14ac:dyDescent="0.25">
      <c r="D22" s="39"/>
      <c r="E22" s="39"/>
    </row>
    <row r="23" spans="4:5" x14ac:dyDescent="0.25">
      <c r="D23" s="44"/>
      <c r="E23" s="44"/>
    </row>
  </sheetData>
  <mergeCells count="5">
    <mergeCell ref="B4:F4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ignoredErrors>
    <ignoredError sqref="D12:E12" formulaRange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A1:R36"/>
  <sheetViews>
    <sheetView workbookViewId="0">
      <selection activeCell="R17" sqref="R17"/>
    </sheetView>
  </sheetViews>
  <sheetFormatPr defaultColWidth="9.140625" defaultRowHeight="15" x14ac:dyDescent="0.25"/>
  <cols>
    <col min="1" max="1" width="4.5703125" style="427" customWidth="1"/>
    <col min="2" max="2" width="8" style="427" customWidth="1"/>
    <col min="3" max="3" width="29" style="427" customWidth="1"/>
    <col min="4" max="4" width="9.85546875" style="427" customWidth="1"/>
    <col min="5" max="5" width="11.42578125" style="427" customWidth="1"/>
    <col min="6" max="7" width="10.85546875" style="427" customWidth="1"/>
    <col min="8" max="8" width="17.5703125" style="427" customWidth="1"/>
    <col min="9" max="9" width="12.42578125" style="427" customWidth="1"/>
    <col min="10" max="10" width="9.85546875" style="427" customWidth="1"/>
    <col min="11" max="11" width="11.42578125" style="427" customWidth="1"/>
    <col min="12" max="13" width="10.85546875" style="427" customWidth="1"/>
    <col min="14" max="14" width="17.5703125" style="427" customWidth="1"/>
    <col min="15" max="15" width="12.42578125" style="427" customWidth="1"/>
    <col min="16" max="16" width="8.140625" style="427" customWidth="1"/>
    <col min="17" max="17" width="4.7109375" style="427" customWidth="1"/>
    <col min="18" max="18" width="9.42578125" style="427" customWidth="1"/>
    <col min="19" max="16384" width="9.140625" style="427"/>
  </cols>
  <sheetData>
    <row r="1" spans="1:18" ht="21" x14ac:dyDescent="0.35">
      <c r="A1" s="426"/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</row>
    <row r="2" spans="1:18" ht="15.75" thickBot="1" x14ac:dyDescent="0.3">
      <c r="R2"/>
    </row>
    <row r="3" spans="1:18" ht="16.5" thickTop="1" x14ac:dyDescent="0.25">
      <c r="B3" s="470" t="s">
        <v>1346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</row>
    <row r="4" spans="1:18" ht="24.95" customHeight="1" x14ac:dyDescent="0.25">
      <c r="B4" s="443" t="s">
        <v>100</v>
      </c>
      <c r="C4" s="443" t="s">
        <v>899</v>
      </c>
      <c r="D4" s="443" t="s">
        <v>601</v>
      </c>
      <c r="E4" s="443"/>
      <c r="F4" s="443"/>
      <c r="G4" s="443"/>
      <c r="H4" s="443"/>
      <c r="I4" s="443"/>
      <c r="J4" s="443" t="s">
        <v>602</v>
      </c>
      <c r="K4" s="443"/>
      <c r="L4" s="443"/>
      <c r="M4" s="443"/>
      <c r="N4" s="443"/>
      <c r="O4" s="443"/>
      <c r="P4" s="443" t="s">
        <v>900</v>
      </c>
    </row>
    <row r="5" spans="1:18" ht="68.25" customHeight="1" x14ac:dyDescent="0.25">
      <c r="B5" s="443"/>
      <c r="C5" s="443"/>
      <c r="D5" s="50" t="s">
        <v>901</v>
      </c>
      <c r="E5" s="50" t="s">
        <v>902</v>
      </c>
      <c r="F5" s="50" t="s">
        <v>1396</v>
      </c>
      <c r="G5" s="50" t="s">
        <v>903</v>
      </c>
      <c r="H5" s="50" t="s">
        <v>904</v>
      </c>
      <c r="I5" s="50" t="s">
        <v>905</v>
      </c>
      <c r="J5" s="50" t="s">
        <v>901</v>
      </c>
      <c r="K5" s="50" t="s">
        <v>906</v>
      </c>
      <c r="L5" s="50" t="s">
        <v>907</v>
      </c>
      <c r="M5" s="50" t="s">
        <v>903</v>
      </c>
      <c r="N5" s="50" t="s">
        <v>904</v>
      </c>
      <c r="O5" s="50" t="s">
        <v>905</v>
      </c>
      <c r="P5" s="443"/>
    </row>
    <row r="6" spans="1:18" ht="15" customHeight="1" x14ac:dyDescent="0.25">
      <c r="B6" s="48">
        <v>1</v>
      </c>
      <c r="C6" s="48">
        <v>2</v>
      </c>
      <c r="D6" s="48">
        <v>3</v>
      </c>
      <c r="E6" s="48">
        <v>4</v>
      </c>
      <c r="F6" s="48">
        <v>5</v>
      </c>
      <c r="G6" s="48">
        <v>6</v>
      </c>
      <c r="H6" s="48">
        <v>7</v>
      </c>
      <c r="I6" s="48">
        <v>8</v>
      </c>
      <c r="J6" s="48">
        <v>9</v>
      </c>
      <c r="K6" s="48">
        <v>10</v>
      </c>
      <c r="L6" s="48">
        <v>11</v>
      </c>
      <c r="M6" s="48">
        <v>12</v>
      </c>
      <c r="N6" s="48">
        <v>13</v>
      </c>
      <c r="O6" s="48">
        <v>14</v>
      </c>
      <c r="P6" s="48">
        <v>15</v>
      </c>
    </row>
    <row r="7" spans="1:18" ht="15.75" x14ac:dyDescent="0.25">
      <c r="B7" s="52" t="s">
        <v>247</v>
      </c>
      <c r="C7" s="53" t="s">
        <v>908</v>
      </c>
      <c r="D7" s="54">
        <v>13</v>
      </c>
      <c r="E7" s="54">
        <v>387</v>
      </c>
      <c r="F7" s="54">
        <v>126</v>
      </c>
      <c r="G7" s="54">
        <v>5</v>
      </c>
      <c r="H7" s="54">
        <v>8</v>
      </c>
      <c r="I7" s="54">
        <v>75</v>
      </c>
      <c r="J7" s="54">
        <v>13</v>
      </c>
      <c r="K7" s="54">
        <v>402</v>
      </c>
      <c r="L7" s="54">
        <v>127</v>
      </c>
      <c r="M7" s="54">
        <v>5</v>
      </c>
      <c r="N7" s="54">
        <v>8</v>
      </c>
      <c r="O7" s="421">
        <v>75</v>
      </c>
      <c r="P7" s="184">
        <f>J7/D7*100</f>
        <v>100</v>
      </c>
    </row>
    <row r="8" spans="1:18" ht="15.75" x14ac:dyDescent="0.25">
      <c r="B8" s="52" t="s">
        <v>248</v>
      </c>
      <c r="C8" s="53" t="s">
        <v>909</v>
      </c>
      <c r="D8" s="54">
        <v>4</v>
      </c>
      <c r="E8" s="54">
        <v>4</v>
      </c>
      <c r="F8" s="54">
        <v>4</v>
      </c>
      <c r="G8" s="54">
        <v>0</v>
      </c>
      <c r="H8" s="54">
        <v>0</v>
      </c>
      <c r="I8" s="54">
        <v>0</v>
      </c>
      <c r="J8" s="54">
        <v>4</v>
      </c>
      <c r="K8" s="54">
        <v>4</v>
      </c>
      <c r="L8" s="54">
        <v>4</v>
      </c>
      <c r="M8" s="54">
        <v>0</v>
      </c>
      <c r="N8" s="54">
        <v>0</v>
      </c>
      <c r="O8" s="421">
        <v>0</v>
      </c>
      <c r="P8" s="184">
        <f>J8/D8*100</f>
        <v>100</v>
      </c>
    </row>
    <row r="9" spans="1:18" ht="31.5" x14ac:dyDescent="0.25">
      <c r="B9" s="52" t="s">
        <v>249</v>
      </c>
      <c r="C9" s="53" t="s">
        <v>910</v>
      </c>
      <c r="D9" s="54">
        <v>3</v>
      </c>
      <c r="E9" s="54" t="s">
        <v>911</v>
      </c>
      <c r="F9" s="54" t="s">
        <v>911</v>
      </c>
      <c r="G9" s="54" t="s">
        <v>911</v>
      </c>
      <c r="H9" s="54" t="s">
        <v>911</v>
      </c>
      <c r="I9" s="54" t="s">
        <v>911</v>
      </c>
      <c r="J9" s="54">
        <v>3</v>
      </c>
      <c r="K9" s="54" t="s">
        <v>911</v>
      </c>
      <c r="L9" s="54" t="s">
        <v>911</v>
      </c>
      <c r="M9" s="54" t="s">
        <v>911</v>
      </c>
      <c r="N9" s="54" t="s">
        <v>911</v>
      </c>
      <c r="O9" s="421" t="s">
        <v>911</v>
      </c>
      <c r="P9" s="184">
        <f>J9/D9*100</f>
        <v>100</v>
      </c>
    </row>
    <row r="10" spans="1:18" ht="15.75" x14ac:dyDescent="0.25">
      <c r="B10" s="443" t="s">
        <v>912</v>
      </c>
      <c r="C10" s="443"/>
      <c r="D10" s="56">
        <f>SUM(D7:D9)</f>
        <v>20</v>
      </c>
      <c r="E10" s="56">
        <f>E7+E8</f>
        <v>391</v>
      </c>
      <c r="F10" s="56">
        <f>F7+F8</f>
        <v>130</v>
      </c>
      <c r="G10" s="56">
        <f>G7+G8</f>
        <v>5</v>
      </c>
      <c r="H10" s="56">
        <f>H7+H8</f>
        <v>8</v>
      </c>
      <c r="I10" s="56">
        <f>I7+I8</f>
        <v>75</v>
      </c>
      <c r="J10" s="56">
        <f>SUM(J7:J9)</f>
        <v>20</v>
      </c>
      <c r="K10" s="56">
        <f>K7+K8</f>
        <v>406</v>
      </c>
      <c r="L10" s="56">
        <f>L7+L8</f>
        <v>131</v>
      </c>
      <c r="M10" s="56">
        <f>M7+M8</f>
        <v>5</v>
      </c>
      <c r="N10" s="56">
        <f>N7+N8</f>
        <v>8</v>
      </c>
      <c r="O10" s="56">
        <f>O7+O8</f>
        <v>75</v>
      </c>
      <c r="P10" s="185">
        <f>J10/D10*100</f>
        <v>100</v>
      </c>
    </row>
    <row r="11" spans="1:18" ht="18.75" customHeight="1" x14ac:dyDescent="0.25">
      <c r="B11" s="346" t="s">
        <v>913</v>
      </c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</row>
    <row r="12" spans="1:18" ht="15.75" x14ac:dyDescent="0.25">
      <c r="B12" s="346" t="s">
        <v>1397</v>
      </c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</row>
    <row r="13" spans="1:18" ht="15.75" x14ac:dyDescent="0.25"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</row>
    <row r="14" spans="1:18" ht="15.75" x14ac:dyDescent="0.25"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</row>
    <row r="15" spans="1:18" ht="17.25" x14ac:dyDescent="0.3">
      <c r="B15" s="428" t="s">
        <v>914</v>
      </c>
      <c r="C15" s="428"/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30"/>
      <c r="R15" s="430"/>
    </row>
    <row r="16" spans="1:18" ht="17.25" x14ac:dyDescent="0.3">
      <c r="B16" s="429" t="s">
        <v>1398</v>
      </c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430"/>
      <c r="R16" s="430"/>
    </row>
    <row r="17" spans="2:18" ht="17.25" x14ac:dyDescent="0.3">
      <c r="B17" s="471" t="s">
        <v>1399</v>
      </c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30"/>
      <c r="R17" s="430"/>
    </row>
    <row r="18" spans="2:18" ht="15.75" customHeight="1" x14ac:dyDescent="0.3">
      <c r="B18" s="471" t="s">
        <v>1400</v>
      </c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30"/>
      <c r="R18" s="430"/>
    </row>
    <row r="19" spans="2:18" ht="15.75" customHeight="1" x14ac:dyDescent="0.3"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30"/>
      <c r="R19" s="430"/>
    </row>
    <row r="20" spans="2:18" ht="17.25" x14ac:dyDescent="0.3">
      <c r="B20" s="428" t="s">
        <v>915</v>
      </c>
      <c r="C20" s="428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</row>
    <row r="21" spans="2:18" ht="17.25" x14ac:dyDescent="0.3">
      <c r="B21" s="429" t="s">
        <v>1398</v>
      </c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30"/>
      <c r="R21" s="430"/>
    </row>
    <row r="22" spans="2:18" ht="17.25" x14ac:dyDescent="0.3">
      <c r="B22" s="471" t="s">
        <v>1399</v>
      </c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30"/>
      <c r="R22" s="430"/>
    </row>
    <row r="23" spans="2:18" ht="15.75" customHeight="1" x14ac:dyDescent="0.3">
      <c r="B23" s="471" t="s">
        <v>1400</v>
      </c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29"/>
      <c r="R23" s="429"/>
    </row>
    <row r="24" spans="2:18" ht="15.75" customHeight="1" x14ac:dyDescent="0.25"/>
    <row r="25" spans="2:18" ht="17.25" x14ac:dyDescent="0.3">
      <c r="B25" s="428" t="s">
        <v>916</v>
      </c>
      <c r="C25" s="429"/>
    </row>
    <row r="26" spans="2:18" ht="17.25" x14ac:dyDescent="0.3">
      <c r="B26" s="429" t="s">
        <v>917</v>
      </c>
      <c r="C26" s="429" t="s">
        <v>918</v>
      </c>
      <c r="D26" s="429"/>
    </row>
    <row r="27" spans="2:18" ht="17.25" x14ac:dyDescent="0.3">
      <c r="B27" s="429" t="s">
        <v>919</v>
      </c>
      <c r="C27" s="429" t="s">
        <v>920</v>
      </c>
    </row>
    <row r="28" spans="2:18" ht="17.25" x14ac:dyDescent="0.3">
      <c r="B28" s="429" t="s">
        <v>921</v>
      </c>
      <c r="C28" s="429" t="s">
        <v>922</v>
      </c>
      <c r="D28" s="429"/>
    </row>
    <row r="29" spans="2:18" ht="17.25" x14ac:dyDescent="0.3">
      <c r="B29" s="429" t="s">
        <v>923</v>
      </c>
      <c r="C29" s="429" t="s">
        <v>924</v>
      </c>
      <c r="D29" s="429"/>
    </row>
    <row r="30" spans="2:18" ht="17.25" x14ac:dyDescent="0.3">
      <c r="B30" s="429" t="s">
        <v>157</v>
      </c>
      <c r="C30" s="429" t="s">
        <v>925</v>
      </c>
      <c r="D30" s="429"/>
    </row>
    <row r="31" spans="2:18" ht="17.25" x14ac:dyDescent="0.3">
      <c r="B31" s="429" t="s">
        <v>926</v>
      </c>
      <c r="C31" s="429" t="s">
        <v>927</v>
      </c>
      <c r="D31" s="429"/>
    </row>
    <row r="32" spans="2:18" ht="17.25" x14ac:dyDescent="0.3">
      <c r="B32" s="429" t="s">
        <v>928</v>
      </c>
      <c r="C32" s="429" t="s">
        <v>929</v>
      </c>
      <c r="D32" s="429"/>
    </row>
    <row r="33" spans="2:4" ht="17.25" x14ac:dyDescent="0.3">
      <c r="B33" s="429" t="s">
        <v>930</v>
      </c>
      <c r="C33" s="429" t="s">
        <v>931</v>
      </c>
      <c r="D33" s="429"/>
    </row>
    <row r="34" spans="2:4" ht="17.25" x14ac:dyDescent="0.3">
      <c r="B34" s="429" t="s">
        <v>932</v>
      </c>
      <c r="C34" s="429" t="s">
        <v>933</v>
      </c>
      <c r="D34" s="429"/>
    </row>
    <row r="35" spans="2:4" ht="17.25" x14ac:dyDescent="0.3">
      <c r="B35" s="429" t="s">
        <v>934</v>
      </c>
      <c r="C35" s="429" t="s">
        <v>935</v>
      </c>
      <c r="D35" s="429"/>
    </row>
    <row r="36" spans="2:4" ht="17.25" x14ac:dyDescent="0.3">
      <c r="B36" s="429" t="s">
        <v>936</v>
      </c>
      <c r="C36" s="429" t="s">
        <v>937</v>
      </c>
      <c r="D36" s="429"/>
    </row>
  </sheetData>
  <mergeCells count="11">
    <mergeCell ref="B18:P18"/>
    <mergeCell ref="B23:P23"/>
    <mergeCell ref="B10:C10"/>
    <mergeCell ref="B17:P17"/>
    <mergeCell ref="B22:P22"/>
    <mergeCell ref="B3:P3"/>
    <mergeCell ref="B4:B5"/>
    <mergeCell ref="C4:C5"/>
    <mergeCell ref="D4:I4"/>
    <mergeCell ref="J4:O4"/>
    <mergeCell ref="P4:P5"/>
  </mergeCells>
  <pageMargins left="0.7" right="0.7" top="0.75" bottom="0.75" header="0.3" footer="0.3"/>
  <pageSetup orientation="portrait" r:id="rId1"/>
  <ignoredErrors>
    <ignoredError sqref="D10:I10 K10" formulaRange="1"/>
    <ignoredError sqref="J10" formula="1" formulaRange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J20"/>
  <sheetViews>
    <sheetView workbookViewId="0">
      <selection activeCell="L19" sqref="L19"/>
    </sheetView>
  </sheetViews>
  <sheetFormatPr defaultRowHeight="15" x14ac:dyDescent="0.25"/>
  <cols>
    <col min="2" max="2" width="7.28515625" customWidth="1"/>
    <col min="3" max="3" width="49.85546875" customWidth="1"/>
    <col min="4" max="4" width="21.5703125" customWidth="1"/>
    <col min="5" max="5" width="17.28515625" customWidth="1"/>
    <col min="6" max="6" width="13.42578125" customWidth="1"/>
    <col min="7" max="7" width="15.42578125" customWidth="1"/>
    <col min="8" max="8" width="16.7109375" customWidth="1"/>
    <col min="9" max="9" width="15" customWidth="1"/>
    <col min="10" max="10" width="13" style="22" customWidth="1"/>
  </cols>
  <sheetData>
    <row r="3" spans="2:10" ht="15.75" thickBot="1" x14ac:dyDescent="0.3"/>
    <row r="4" spans="2:10" ht="16.5" customHeight="1" thickTop="1" x14ac:dyDescent="0.25">
      <c r="B4" s="472" t="s">
        <v>1347</v>
      </c>
      <c r="C4" s="472"/>
      <c r="D4" s="472"/>
      <c r="E4" s="472"/>
      <c r="F4" s="472"/>
      <c r="G4" s="472"/>
      <c r="H4" s="472"/>
      <c r="I4" s="472"/>
      <c r="J4" s="472"/>
    </row>
    <row r="5" spans="2:10" ht="110.25" x14ac:dyDescent="0.25">
      <c r="B5" s="50" t="s">
        <v>100</v>
      </c>
      <c r="C5" s="50" t="s">
        <v>938</v>
      </c>
      <c r="D5" s="50" t="s">
        <v>628</v>
      </c>
      <c r="E5" s="50" t="s">
        <v>629</v>
      </c>
      <c r="F5" s="50" t="s">
        <v>13</v>
      </c>
      <c r="G5" s="50" t="s">
        <v>939</v>
      </c>
      <c r="H5" s="50" t="s">
        <v>940</v>
      </c>
      <c r="I5" s="50" t="s">
        <v>941</v>
      </c>
      <c r="J5" s="50" t="s">
        <v>942</v>
      </c>
    </row>
    <row r="6" spans="2:10" ht="30" customHeight="1" x14ac:dyDescent="0.25">
      <c r="B6" s="52" t="s">
        <v>247</v>
      </c>
      <c r="C6" s="52" t="s">
        <v>943</v>
      </c>
      <c r="D6" s="52" t="s">
        <v>944</v>
      </c>
      <c r="E6" s="52" t="s">
        <v>945</v>
      </c>
      <c r="F6" s="61">
        <v>21</v>
      </c>
      <c r="G6" s="217">
        <v>8252</v>
      </c>
      <c r="H6" s="217">
        <v>7315</v>
      </c>
      <c r="I6" s="217">
        <v>32</v>
      </c>
      <c r="J6" s="217">
        <v>2099</v>
      </c>
    </row>
    <row r="7" spans="2:10" ht="30" customHeight="1" x14ac:dyDescent="0.25">
      <c r="B7" s="52" t="s">
        <v>248</v>
      </c>
      <c r="C7" s="52" t="s">
        <v>946</v>
      </c>
      <c r="D7" s="347" t="s">
        <v>947</v>
      </c>
      <c r="E7" s="52" t="s">
        <v>948</v>
      </c>
      <c r="F7" s="61">
        <v>168</v>
      </c>
      <c r="G7" s="217">
        <v>193138</v>
      </c>
      <c r="H7" s="217">
        <v>178824</v>
      </c>
      <c r="I7" s="217">
        <v>2100</v>
      </c>
      <c r="J7" s="217">
        <v>27836</v>
      </c>
    </row>
    <row r="8" spans="2:10" ht="30" customHeight="1" x14ac:dyDescent="0.25">
      <c r="B8" s="52" t="s">
        <v>249</v>
      </c>
      <c r="C8" s="52" t="s">
        <v>949</v>
      </c>
      <c r="D8" s="348" t="s">
        <v>947</v>
      </c>
      <c r="E8" s="52" t="s">
        <v>950</v>
      </c>
      <c r="F8" s="61">
        <v>263</v>
      </c>
      <c r="G8" s="217">
        <v>143948</v>
      </c>
      <c r="H8" s="217">
        <v>97354</v>
      </c>
      <c r="I8" s="217">
        <v>738</v>
      </c>
      <c r="J8" s="217">
        <v>27517</v>
      </c>
    </row>
    <row r="9" spans="2:10" ht="30" customHeight="1" x14ac:dyDescent="0.25">
      <c r="B9" s="52" t="s">
        <v>250</v>
      </c>
      <c r="C9" s="52" t="s">
        <v>951</v>
      </c>
      <c r="D9" s="347" t="s">
        <v>952</v>
      </c>
      <c r="E9" s="52" t="s">
        <v>953</v>
      </c>
      <c r="F9" s="61">
        <v>70</v>
      </c>
      <c r="G9" s="217">
        <v>31841</v>
      </c>
      <c r="H9" s="217">
        <v>28702</v>
      </c>
      <c r="I9" s="217">
        <v>169</v>
      </c>
      <c r="J9" s="217">
        <v>6569</v>
      </c>
    </row>
    <row r="10" spans="2:10" ht="30" customHeight="1" x14ac:dyDescent="0.25">
      <c r="B10" s="52" t="s">
        <v>251</v>
      </c>
      <c r="C10" s="52" t="s">
        <v>954</v>
      </c>
      <c r="D10" s="347" t="s">
        <v>955</v>
      </c>
      <c r="E10" s="52" t="s">
        <v>956</v>
      </c>
      <c r="F10" s="61">
        <v>48</v>
      </c>
      <c r="G10" s="217">
        <v>5570</v>
      </c>
      <c r="H10" s="217">
        <v>4575</v>
      </c>
      <c r="I10" s="217">
        <v>-94</v>
      </c>
      <c r="J10" s="217">
        <v>990</v>
      </c>
    </row>
    <row r="11" spans="2:10" ht="30" customHeight="1" x14ac:dyDescent="0.25">
      <c r="B11" s="52" t="s">
        <v>252</v>
      </c>
      <c r="C11" s="52" t="s">
        <v>957</v>
      </c>
      <c r="D11" s="347" t="s">
        <v>1401</v>
      </c>
      <c r="E11" s="52" t="s">
        <v>959</v>
      </c>
      <c r="F11" s="61">
        <v>15</v>
      </c>
      <c r="G11" s="217">
        <v>12138</v>
      </c>
      <c r="H11" s="217">
        <v>9788</v>
      </c>
      <c r="I11" s="217">
        <v>-37</v>
      </c>
      <c r="J11" s="217">
        <v>2809</v>
      </c>
    </row>
    <row r="12" spans="2:10" ht="30" customHeight="1" x14ac:dyDescent="0.25">
      <c r="B12" s="52" t="s">
        <v>253</v>
      </c>
      <c r="C12" s="52" t="s">
        <v>960</v>
      </c>
      <c r="D12" s="347" t="s">
        <v>958</v>
      </c>
      <c r="E12" s="52" t="s">
        <v>961</v>
      </c>
      <c r="F12" s="61">
        <v>215</v>
      </c>
      <c r="G12" s="217">
        <v>108159</v>
      </c>
      <c r="H12" s="217">
        <v>90213</v>
      </c>
      <c r="I12" s="217">
        <v>618</v>
      </c>
      <c r="J12" s="217">
        <v>21381</v>
      </c>
    </row>
    <row r="13" spans="2:10" ht="30" customHeight="1" x14ac:dyDescent="0.25">
      <c r="B13" s="52" t="s">
        <v>254</v>
      </c>
      <c r="C13" s="52" t="s">
        <v>962</v>
      </c>
      <c r="D13" s="347" t="s">
        <v>963</v>
      </c>
      <c r="E13" s="52" t="s">
        <v>964</v>
      </c>
      <c r="F13" s="61">
        <v>168</v>
      </c>
      <c r="G13" s="217">
        <v>78243</v>
      </c>
      <c r="H13" s="217">
        <v>67977</v>
      </c>
      <c r="I13" s="217">
        <v>307</v>
      </c>
      <c r="J13" s="217">
        <v>15428</v>
      </c>
    </row>
    <row r="14" spans="2:10" ht="30" customHeight="1" x14ac:dyDescent="0.25">
      <c r="B14" s="52" t="s">
        <v>255</v>
      </c>
      <c r="C14" s="52" t="s">
        <v>965</v>
      </c>
      <c r="D14" s="347" t="s">
        <v>966</v>
      </c>
      <c r="E14" s="52" t="s">
        <v>967</v>
      </c>
      <c r="F14" s="61">
        <v>34</v>
      </c>
      <c r="G14" s="217">
        <v>9539</v>
      </c>
      <c r="H14" s="217">
        <v>8569</v>
      </c>
      <c r="I14" s="217">
        <v>83</v>
      </c>
      <c r="J14" s="217">
        <v>1933</v>
      </c>
    </row>
    <row r="15" spans="2:10" ht="30" customHeight="1" x14ac:dyDescent="0.25">
      <c r="B15" s="52" t="s">
        <v>256</v>
      </c>
      <c r="C15" s="52" t="s">
        <v>968</v>
      </c>
      <c r="D15" s="348" t="s">
        <v>969</v>
      </c>
      <c r="E15" s="52" t="s">
        <v>970</v>
      </c>
      <c r="F15" s="61">
        <v>272</v>
      </c>
      <c r="G15" s="217">
        <v>198033</v>
      </c>
      <c r="H15" s="217">
        <v>150319</v>
      </c>
      <c r="I15" s="217">
        <v>1740</v>
      </c>
      <c r="J15" s="217">
        <v>29878</v>
      </c>
    </row>
    <row r="16" spans="2:10" ht="30" customHeight="1" x14ac:dyDescent="0.25">
      <c r="B16" s="52" t="s">
        <v>257</v>
      </c>
      <c r="C16" s="52" t="s">
        <v>971</v>
      </c>
      <c r="D16" s="347" t="s">
        <v>972</v>
      </c>
      <c r="E16" s="52" t="s">
        <v>973</v>
      </c>
      <c r="F16" s="61">
        <v>6</v>
      </c>
      <c r="G16" s="217">
        <v>2590</v>
      </c>
      <c r="H16" s="217">
        <v>2193</v>
      </c>
      <c r="I16" s="217">
        <v>-24</v>
      </c>
      <c r="J16" s="217">
        <v>643</v>
      </c>
    </row>
    <row r="17" spans="2:10" ht="30" customHeight="1" x14ac:dyDescent="0.25">
      <c r="B17" s="52" t="s">
        <v>258</v>
      </c>
      <c r="C17" s="52" t="s">
        <v>974</v>
      </c>
      <c r="D17" s="347" t="s">
        <v>975</v>
      </c>
      <c r="E17" s="52" t="s">
        <v>976</v>
      </c>
      <c r="F17" s="61">
        <v>157</v>
      </c>
      <c r="G17" s="217">
        <v>66378</v>
      </c>
      <c r="H17" s="217">
        <v>57490</v>
      </c>
      <c r="I17" s="217">
        <v>448</v>
      </c>
      <c r="J17" s="217">
        <v>17345</v>
      </c>
    </row>
    <row r="18" spans="2:10" ht="30" customHeight="1" x14ac:dyDescent="0.25">
      <c r="B18" s="52" t="s">
        <v>630</v>
      </c>
      <c r="C18" s="52" t="s">
        <v>977</v>
      </c>
      <c r="D18" s="348" t="s">
        <v>969</v>
      </c>
      <c r="E18" s="52" t="s">
        <v>978</v>
      </c>
      <c r="F18" s="61">
        <v>79</v>
      </c>
      <c r="G18" s="217">
        <v>69805</v>
      </c>
      <c r="H18" s="217">
        <v>63196</v>
      </c>
      <c r="I18" s="217">
        <v>317</v>
      </c>
      <c r="J18" s="217">
        <v>12940</v>
      </c>
    </row>
    <row r="19" spans="2:10" ht="22.5" customHeight="1" x14ac:dyDescent="0.25">
      <c r="B19" s="443" t="s">
        <v>912</v>
      </c>
      <c r="C19" s="443"/>
      <c r="D19" s="443"/>
      <c r="E19" s="443"/>
      <c r="F19" s="59">
        <f>SUM(F6:F18)</f>
        <v>1516</v>
      </c>
      <c r="G19" s="59">
        <f>SUM(G6:G18)</f>
        <v>927634</v>
      </c>
      <c r="H19" s="59">
        <f>SUM(H6:H18)</f>
        <v>766515</v>
      </c>
      <c r="I19" s="59">
        <f>SUM(I6:I18)</f>
        <v>6397</v>
      </c>
      <c r="J19" s="59">
        <f>SUM(J6:J18)</f>
        <v>167368</v>
      </c>
    </row>
    <row r="20" spans="2:10" x14ac:dyDescent="0.25">
      <c r="B20" s="349" t="s">
        <v>979</v>
      </c>
      <c r="J20"/>
    </row>
  </sheetData>
  <mergeCells count="2">
    <mergeCell ref="B4:J4"/>
    <mergeCell ref="B19:E19"/>
  </mergeCells>
  <hyperlinks>
    <hyperlink ref="D7" r:id="rId1" display="http://www.eki.ba/" xr:uid="{B3FBE5BF-2861-470D-B1C9-4F7E1B52893D}"/>
    <hyperlink ref="D9" r:id="rId2" display="http://www.lider.ba/" xr:uid="{D4E5EB49-5818-4DAA-AB04-7225EB6F0C09}"/>
    <hyperlink ref="D10" r:id="rId3" display="http://www.lok.ba/" xr:uid="{76872E9C-04FD-452A-97D1-8001A5F983E3}"/>
    <hyperlink ref="D11" r:id="rId4" display="http://www.mi-bospo.org/" xr:uid="{D40A6519-60A4-4F44-8854-49A3E731C6C0}"/>
    <hyperlink ref="D12" r:id="rId5" display="http://www.mi-bospo.org/" xr:uid="{E5C69E3C-2572-4E66-A3F2-18C21376DE2D}"/>
    <hyperlink ref="D13" r:id="rId6" display="http://www.mikra.ba/" xr:uid="{DA9E4472-597B-4051-8614-03AD1E2E6D32}"/>
    <hyperlink ref="D14" r:id="rId7" display="http://www.mikroaldi.org/" xr:uid="{762456BF-FD90-49FC-AB38-ECDA491BF6F2}"/>
    <hyperlink ref="D15" r:id="rId8" xr:uid="{C3677797-2B62-46C5-BE38-62B7D50A6CD7}"/>
    <hyperlink ref="D16" r:id="rId9" display="http://www.mfi.ba/" xr:uid="{9C97CA95-49F3-456C-AD01-ADC5D99B3DE2}"/>
    <hyperlink ref="D17" r:id="rId10" display="http://www.microsunrise.ba/" xr:uid="{824DE0CB-6C55-4666-A9BE-427BB86DA8BC}"/>
    <hyperlink ref="D8" r:id="rId11" xr:uid="{0728C28F-84B8-4A9B-9149-122DF0E69542}"/>
    <hyperlink ref="D18" r:id="rId12" xr:uid="{F3491230-0782-41F4-A65A-9AC54EF7672F}"/>
  </hyperlinks>
  <pageMargins left="0.7" right="0.7" top="0.75" bottom="0.75" header="0.3" footer="0.3"/>
  <pageSetup paperSize="9" orientation="portrait" r:id="rId13"/>
  <drawing r:id="rId14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H13"/>
  <sheetViews>
    <sheetView workbookViewId="0"/>
  </sheetViews>
  <sheetFormatPr defaultColWidth="9.140625" defaultRowHeight="15" x14ac:dyDescent="0.25"/>
  <cols>
    <col min="1" max="1" width="9.140625" style="27"/>
    <col min="2" max="2" width="8" style="27" customWidth="1"/>
    <col min="3" max="3" width="32.85546875" style="27" customWidth="1"/>
    <col min="4" max="4" width="13.140625" style="27" customWidth="1"/>
    <col min="5" max="5" width="13.42578125" style="27" customWidth="1"/>
    <col min="6" max="6" width="13.140625" style="27" customWidth="1"/>
    <col min="7" max="7" width="10.42578125" style="27" customWidth="1"/>
    <col min="8" max="8" width="12.42578125" style="27" customWidth="1"/>
    <col min="9" max="16384" width="9.140625" style="27"/>
  </cols>
  <sheetData>
    <row r="2" spans="2:8" ht="15.75" x14ac:dyDescent="0.25">
      <c r="B2" s="1"/>
      <c r="C2" s="1"/>
      <c r="D2" s="1"/>
      <c r="E2" s="1"/>
      <c r="F2" s="1"/>
      <c r="G2" s="1"/>
      <c r="H2" s="1"/>
    </row>
    <row r="3" spans="2:8" ht="20.100000000000001" customHeight="1" thickBot="1" x14ac:dyDescent="0.3">
      <c r="B3" s="205"/>
      <c r="C3" s="205"/>
      <c r="D3" s="205"/>
      <c r="E3" s="205"/>
      <c r="F3" s="205"/>
      <c r="G3" s="205"/>
      <c r="H3" s="205"/>
    </row>
    <row r="4" spans="2:8" ht="16.5" customHeight="1" thickTop="1" x14ac:dyDescent="0.25">
      <c r="B4" s="462" t="s">
        <v>1348</v>
      </c>
      <c r="C4" s="462"/>
      <c r="D4" s="462"/>
      <c r="E4" s="462"/>
      <c r="F4" s="462"/>
      <c r="G4" s="462"/>
      <c r="H4" s="462"/>
    </row>
    <row r="5" spans="2:8" ht="15.75" customHeight="1" x14ac:dyDescent="0.25">
      <c r="B5" s="473" t="s">
        <v>100</v>
      </c>
      <c r="C5" s="443" t="s">
        <v>12</v>
      </c>
      <c r="D5" s="443" t="s">
        <v>603</v>
      </c>
      <c r="E5" s="443"/>
      <c r="F5" s="443" t="s">
        <v>604</v>
      </c>
      <c r="G5" s="443"/>
      <c r="H5" s="50" t="s">
        <v>1</v>
      </c>
    </row>
    <row r="6" spans="2:8" ht="31.5" x14ac:dyDescent="0.25">
      <c r="B6" s="473"/>
      <c r="C6" s="443"/>
      <c r="D6" s="50" t="s">
        <v>13</v>
      </c>
      <c r="E6" s="50" t="s">
        <v>20</v>
      </c>
      <c r="F6" s="50" t="s">
        <v>13</v>
      </c>
      <c r="G6" s="50" t="s">
        <v>20</v>
      </c>
      <c r="H6" s="50" t="s">
        <v>333</v>
      </c>
    </row>
    <row r="7" spans="2:8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</row>
    <row r="8" spans="2:8" ht="15.75" x14ac:dyDescent="0.25">
      <c r="B8" s="52" t="s">
        <v>247</v>
      </c>
      <c r="C8" s="53" t="s">
        <v>14</v>
      </c>
      <c r="D8" s="54">
        <f>727+51+3</f>
        <v>781</v>
      </c>
      <c r="E8" s="60">
        <f>D8/D12*100</f>
        <v>51.28036769533815</v>
      </c>
      <c r="F8" s="54">
        <v>784</v>
      </c>
      <c r="G8" s="60">
        <f>F8/F12*100</f>
        <v>51.715039577836407</v>
      </c>
      <c r="H8" s="184">
        <f>F8/D8*100</f>
        <v>100.38412291933419</v>
      </c>
    </row>
    <row r="9" spans="2:8" ht="15.75" x14ac:dyDescent="0.25">
      <c r="B9" s="52" t="s">
        <v>248</v>
      </c>
      <c r="C9" s="53" t="s">
        <v>15</v>
      </c>
      <c r="D9" s="54">
        <v>117</v>
      </c>
      <c r="E9" s="60">
        <f>D9/D12*100</f>
        <v>7.6822061720288906</v>
      </c>
      <c r="F9" s="54">
        <v>116</v>
      </c>
      <c r="G9" s="60">
        <f>F9/F12*100</f>
        <v>7.6517150395778364</v>
      </c>
      <c r="H9" s="184">
        <f>F9/D9*100</f>
        <v>99.145299145299148</v>
      </c>
    </row>
    <row r="10" spans="2:8" ht="15.75" x14ac:dyDescent="0.25">
      <c r="B10" s="52" t="s">
        <v>249</v>
      </c>
      <c r="C10" s="53" t="s">
        <v>16</v>
      </c>
      <c r="D10" s="54">
        <v>614</v>
      </c>
      <c r="E10" s="60">
        <f>D10/D12*100</f>
        <v>40.315167432698622</v>
      </c>
      <c r="F10" s="54">
        <v>605</v>
      </c>
      <c r="G10" s="60">
        <f>F10/F12*100</f>
        <v>39.907651715039577</v>
      </c>
      <c r="H10" s="184">
        <f>F10/D10*100</f>
        <v>98.534201954397389</v>
      </c>
    </row>
    <row r="11" spans="2:8" ht="15.75" x14ac:dyDescent="0.25">
      <c r="B11" s="52" t="s">
        <v>250</v>
      </c>
      <c r="C11" s="53" t="s">
        <v>17</v>
      </c>
      <c r="D11" s="54">
        <f>4+1+6</f>
        <v>11</v>
      </c>
      <c r="E11" s="60">
        <f>D11/D12*100</f>
        <v>0.72225869993434011</v>
      </c>
      <c r="F11" s="54">
        <v>11</v>
      </c>
      <c r="G11" s="60">
        <f>F11/F12*100</f>
        <v>0.72559366754617416</v>
      </c>
      <c r="H11" s="184">
        <f>F11/D11*100</f>
        <v>100</v>
      </c>
    </row>
    <row r="12" spans="2:8" ht="15.75" customHeight="1" x14ac:dyDescent="0.25">
      <c r="B12" s="443" t="s">
        <v>18</v>
      </c>
      <c r="C12" s="443"/>
      <c r="D12" s="56">
        <f>SUM(D8:D11)</f>
        <v>1523</v>
      </c>
      <c r="E12" s="185">
        <f>SUM(E8:E11)</f>
        <v>100</v>
      </c>
      <c r="F12" s="56">
        <f>SUM(F8:F11)</f>
        <v>1516</v>
      </c>
      <c r="G12" s="185">
        <f>SUM(G8:G11)</f>
        <v>100</v>
      </c>
      <c r="H12" s="185">
        <f>F12/D12*100</f>
        <v>99.540380827314507</v>
      </c>
    </row>
    <row r="13" spans="2:8" x14ac:dyDescent="0.25">
      <c r="D13" s="45"/>
      <c r="E13" s="45"/>
      <c r="F13" s="45"/>
      <c r="H13" s="45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F12" formulaRange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H8"/>
  <sheetViews>
    <sheetView workbookViewId="0"/>
  </sheetViews>
  <sheetFormatPr defaultRowHeight="15" x14ac:dyDescent="0.25"/>
  <cols>
    <col min="2" max="2" width="18.42578125" customWidth="1"/>
    <col min="3" max="3" width="27" customWidth="1"/>
    <col min="4" max="4" width="16.7109375" customWidth="1"/>
    <col min="5" max="5" width="17.28515625" customWidth="1"/>
    <col min="6" max="6" width="22.42578125" customWidth="1"/>
    <col min="7" max="7" width="16.7109375" customWidth="1"/>
    <col min="8" max="8" width="13" customWidth="1"/>
  </cols>
  <sheetData>
    <row r="2" spans="2:8" ht="15.75" x14ac:dyDescent="0.25">
      <c r="B2" s="8"/>
      <c r="C2" s="8"/>
      <c r="D2" s="8"/>
      <c r="E2" s="8"/>
      <c r="F2" s="8"/>
      <c r="G2" s="8"/>
      <c r="H2" s="8"/>
    </row>
    <row r="3" spans="2:8" ht="15.75" thickBot="1" x14ac:dyDescent="0.3">
      <c r="B3" s="350"/>
      <c r="C3" s="350"/>
      <c r="D3" s="350"/>
      <c r="E3" s="350"/>
      <c r="F3" s="350"/>
      <c r="G3" s="350"/>
      <c r="H3" s="350"/>
    </row>
    <row r="4" spans="2:8" ht="16.5" thickTop="1" x14ac:dyDescent="0.25">
      <c r="B4" s="454" t="s">
        <v>1349</v>
      </c>
      <c r="C4" s="454"/>
      <c r="D4" s="454"/>
      <c r="E4" s="454"/>
      <c r="F4" s="454"/>
      <c r="G4" s="454"/>
      <c r="H4" s="454"/>
    </row>
    <row r="5" spans="2:8" ht="15.75" x14ac:dyDescent="0.25">
      <c r="B5" s="474" t="s">
        <v>613</v>
      </c>
      <c r="C5" s="474"/>
      <c r="D5" s="474"/>
      <c r="E5" s="474" t="s">
        <v>614</v>
      </c>
      <c r="F5" s="474"/>
      <c r="G5" s="474"/>
      <c r="H5" s="450" t="s">
        <v>1055</v>
      </c>
    </row>
    <row r="6" spans="2:8" ht="54.75" customHeight="1" x14ac:dyDescent="0.25">
      <c r="B6" s="84" t="s">
        <v>980</v>
      </c>
      <c r="C6" s="84" t="s">
        <v>981</v>
      </c>
      <c r="D6" s="84" t="s">
        <v>982</v>
      </c>
      <c r="E6" s="84" t="s">
        <v>980</v>
      </c>
      <c r="F6" s="84" t="s">
        <v>981</v>
      </c>
      <c r="G6" s="84" t="s">
        <v>982</v>
      </c>
      <c r="H6" s="450"/>
    </row>
    <row r="7" spans="2:8" x14ac:dyDescent="0.25">
      <c r="B7" s="125">
        <v>1</v>
      </c>
      <c r="C7" s="125">
        <v>2</v>
      </c>
      <c r="D7" s="125">
        <v>3</v>
      </c>
      <c r="E7" s="125">
        <v>4</v>
      </c>
      <c r="F7" s="125">
        <v>5</v>
      </c>
      <c r="G7" s="125">
        <v>6</v>
      </c>
      <c r="H7" s="125">
        <v>7</v>
      </c>
    </row>
    <row r="8" spans="2:8" ht="15.75" x14ac:dyDescent="0.25">
      <c r="B8" s="195">
        <v>1523</v>
      </c>
      <c r="C8" s="105">
        <v>926425</v>
      </c>
      <c r="D8" s="105">
        <f>C8/B8</f>
        <v>608.28956007879185</v>
      </c>
      <c r="E8" s="195">
        <v>1516</v>
      </c>
      <c r="F8" s="105">
        <v>927634</v>
      </c>
      <c r="G8" s="141">
        <f>F8/E8</f>
        <v>611.89577836411604</v>
      </c>
      <c r="H8" s="196">
        <f>G8/D8*100</f>
        <v>100.59284566463003</v>
      </c>
    </row>
  </sheetData>
  <mergeCells count="4">
    <mergeCell ref="B4:H4"/>
    <mergeCell ref="B5:D5"/>
    <mergeCell ref="E5:G5"/>
    <mergeCell ref="H5:H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B83D-B788-468C-AC52-3B61DE6EF816}">
  <dimension ref="B3:K8"/>
  <sheetViews>
    <sheetView workbookViewId="0"/>
  </sheetViews>
  <sheetFormatPr defaultRowHeight="15" x14ac:dyDescent="0.25"/>
  <cols>
    <col min="2" max="2" width="8.5703125" customWidth="1"/>
    <col min="3" max="3" width="12.7109375" customWidth="1"/>
    <col min="4" max="4" width="14.5703125" customWidth="1"/>
    <col min="5" max="5" width="14.140625" bestFit="1" customWidth="1"/>
    <col min="7" max="7" width="13.7109375" customWidth="1"/>
    <col min="8" max="8" width="10.85546875" customWidth="1"/>
    <col min="9" max="9" width="11.140625" customWidth="1"/>
    <col min="10" max="10" width="10.85546875" customWidth="1"/>
    <col min="11" max="11" width="10.7109375" customWidth="1"/>
  </cols>
  <sheetData>
    <row r="3" spans="2:11" ht="15.75" thickBot="1" x14ac:dyDescent="0.3"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2:11" ht="16.5" thickTop="1" x14ac:dyDescent="0.25">
      <c r="B4" s="447" t="s">
        <v>678</v>
      </c>
      <c r="C4" s="447"/>
      <c r="D4" s="447"/>
      <c r="E4" s="447"/>
      <c r="F4" s="447"/>
      <c r="G4" s="447"/>
      <c r="H4" s="447"/>
      <c r="I4" s="447"/>
      <c r="J4" s="447"/>
      <c r="K4" s="447"/>
    </row>
    <row r="5" spans="2:11" ht="47.25" x14ac:dyDescent="0.25">
      <c r="B5" s="170" t="s">
        <v>100</v>
      </c>
      <c r="C5" s="170" t="s">
        <v>616</v>
      </c>
      <c r="D5" s="170" t="s">
        <v>617</v>
      </c>
      <c r="E5" s="170" t="s">
        <v>618</v>
      </c>
      <c r="F5" s="170" t="s">
        <v>619</v>
      </c>
      <c r="G5" s="50" t="s">
        <v>620</v>
      </c>
      <c r="H5" s="170" t="s">
        <v>621</v>
      </c>
      <c r="I5" s="170" t="s">
        <v>622</v>
      </c>
      <c r="J5" s="170" t="s">
        <v>623</v>
      </c>
      <c r="K5" s="170" t="s">
        <v>624</v>
      </c>
    </row>
    <row r="6" spans="2:11" x14ac:dyDescent="0.25">
      <c r="B6" s="104">
        <v>1</v>
      </c>
      <c r="C6" s="104">
        <v>2</v>
      </c>
      <c r="D6" s="104">
        <v>3</v>
      </c>
      <c r="E6" s="104">
        <v>4</v>
      </c>
      <c r="F6" s="104">
        <v>5</v>
      </c>
      <c r="G6" s="48">
        <v>6</v>
      </c>
      <c r="H6" s="104">
        <v>7</v>
      </c>
      <c r="I6" s="104">
        <v>8</v>
      </c>
      <c r="J6" s="104">
        <v>9</v>
      </c>
      <c r="K6" s="104">
        <v>10</v>
      </c>
    </row>
    <row r="7" spans="2:11" ht="15.75" x14ac:dyDescent="0.25">
      <c r="B7" s="160" t="s">
        <v>247</v>
      </c>
      <c r="C7" s="307" t="s">
        <v>601</v>
      </c>
      <c r="D7" s="308">
        <v>0.2</v>
      </c>
      <c r="E7" s="308">
        <v>4.5</v>
      </c>
      <c r="F7" s="308">
        <v>4.7</v>
      </c>
      <c r="G7" s="308">
        <v>5.4</v>
      </c>
      <c r="H7" s="308">
        <v>8.6999999999999993</v>
      </c>
      <c r="I7" s="308">
        <v>14.6</v>
      </c>
      <c r="J7" s="308">
        <v>23.2</v>
      </c>
      <c r="K7" s="308">
        <v>38.700000000000003</v>
      </c>
    </row>
    <row r="8" spans="2:11" ht="15.75" x14ac:dyDescent="0.25">
      <c r="B8" s="160" t="s">
        <v>248</v>
      </c>
      <c r="C8" s="307" t="s">
        <v>602</v>
      </c>
      <c r="D8" s="309">
        <v>0.2</v>
      </c>
      <c r="E8" s="309">
        <v>4.5</v>
      </c>
      <c r="F8" s="309">
        <v>4.7</v>
      </c>
      <c r="G8" s="309">
        <v>5.4</v>
      </c>
      <c r="H8" s="309">
        <v>8.6999999999999993</v>
      </c>
      <c r="I8" s="309">
        <v>14.6</v>
      </c>
      <c r="J8" s="309">
        <v>23.2</v>
      </c>
      <c r="K8" s="309">
        <v>38.700000000000003</v>
      </c>
    </row>
  </sheetData>
  <mergeCells count="1">
    <mergeCell ref="B4:K4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M57"/>
  <sheetViews>
    <sheetView workbookViewId="0">
      <selection activeCell="O54" sqref="O54"/>
    </sheetView>
  </sheetViews>
  <sheetFormatPr defaultRowHeight="15" x14ac:dyDescent="0.25"/>
  <cols>
    <col min="2" max="2" width="6.42578125" customWidth="1"/>
    <col min="3" max="3" width="6.7109375" customWidth="1"/>
    <col min="4" max="4" width="71.710937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  <col min="11" max="11" width="15" customWidth="1"/>
    <col min="12" max="12" width="14.140625" customWidth="1"/>
  </cols>
  <sheetData>
    <row r="2" spans="2:13" x14ac:dyDescent="0.25">
      <c r="B2" s="28"/>
      <c r="C2" s="28"/>
      <c r="D2" s="28"/>
      <c r="E2" s="28"/>
      <c r="F2" s="28"/>
      <c r="G2" s="28"/>
      <c r="H2" s="28"/>
      <c r="I2" s="28"/>
      <c r="J2" s="28"/>
    </row>
    <row r="3" spans="2:13" ht="16.5" thickBot="1" x14ac:dyDescent="0.3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93"/>
      <c r="M3" s="143" t="s">
        <v>270</v>
      </c>
    </row>
    <row r="4" spans="2:13" ht="19.5" customHeight="1" thickTop="1" x14ac:dyDescent="0.25">
      <c r="B4" s="452" t="s">
        <v>1350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</row>
    <row r="5" spans="2:13" ht="18.75" customHeight="1" x14ac:dyDescent="0.25">
      <c r="B5" s="443" t="s">
        <v>100</v>
      </c>
      <c r="C5" s="50"/>
      <c r="D5" s="443" t="s">
        <v>56</v>
      </c>
      <c r="E5" s="448" t="s">
        <v>613</v>
      </c>
      <c r="F5" s="448"/>
      <c r="G5" s="448"/>
      <c r="H5" s="448"/>
      <c r="I5" s="448" t="s">
        <v>614</v>
      </c>
      <c r="J5" s="448"/>
      <c r="K5" s="448"/>
      <c r="L5" s="448"/>
      <c r="M5" s="50" t="s">
        <v>1</v>
      </c>
    </row>
    <row r="6" spans="2:13" ht="15.75" x14ac:dyDescent="0.25">
      <c r="B6" s="443"/>
      <c r="C6" s="50"/>
      <c r="D6" s="443"/>
      <c r="E6" s="50" t="s">
        <v>157</v>
      </c>
      <c r="F6" s="50" t="s">
        <v>158</v>
      </c>
      <c r="G6" s="50" t="s">
        <v>18</v>
      </c>
      <c r="H6" s="50" t="s">
        <v>32</v>
      </c>
      <c r="I6" s="50" t="s">
        <v>157</v>
      </c>
      <c r="J6" s="50" t="s">
        <v>158</v>
      </c>
      <c r="K6" s="50" t="s">
        <v>18</v>
      </c>
      <c r="L6" s="186" t="s">
        <v>32</v>
      </c>
      <c r="M6" s="50" t="s">
        <v>370</v>
      </c>
    </row>
    <row r="7" spans="2:13" x14ac:dyDescent="0.25">
      <c r="B7" s="48">
        <v>1</v>
      </c>
      <c r="C7" s="48"/>
      <c r="D7" s="48">
        <v>2</v>
      </c>
      <c r="E7" s="48">
        <v>3</v>
      </c>
      <c r="F7" s="48">
        <v>4</v>
      </c>
      <c r="G7" s="48" t="s">
        <v>296</v>
      </c>
      <c r="H7" s="48">
        <v>6</v>
      </c>
      <c r="I7" s="48">
        <v>7</v>
      </c>
      <c r="J7" s="48">
        <v>8</v>
      </c>
      <c r="K7" s="48" t="s">
        <v>297</v>
      </c>
      <c r="L7" s="104">
        <v>10</v>
      </c>
      <c r="M7" s="48">
        <v>11</v>
      </c>
    </row>
    <row r="8" spans="2:13" ht="15.75" x14ac:dyDescent="0.25">
      <c r="B8" s="140"/>
      <c r="C8" s="140"/>
      <c r="D8" s="140" t="s">
        <v>155</v>
      </c>
      <c r="E8" s="475"/>
      <c r="F8" s="475"/>
      <c r="G8" s="475"/>
      <c r="H8" s="475"/>
      <c r="I8" s="475"/>
      <c r="J8" s="475"/>
      <c r="K8" s="475"/>
      <c r="L8" s="475"/>
      <c r="M8" s="475"/>
    </row>
    <row r="9" spans="2:13" ht="18.75" customHeight="1" x14ac:dyDescent="0.25">
      <c r="B9" s="52" t="s">
        <v>247</v>
      </c>
      <c r="C9" s="52"/>
      <c r="D9" s="53" t="s">
        <v>21</v>
      </c>
      <c r="E9" s="55">
        <f>E10+E11</f>
        <v>39764</v>
      </c>
      <c r="F9" s="55">
        <f>F10+F11</f>
        <v>17512</v>
      </c>
      <c r="G9" s="55">
        <f>G10+G11</f>
        <v>57276</v>
      </c>
      <c r="H9" s="58">
        <f>G9/G29*100</f>
        <v>6.1824756456270071</v>
      </c>
      <c r="I9" s="55">
        <f>I10+I11</f>
        <v>30158</v>
      </c>
      <c r="J9" s="55">
        <f>J10+J11</f>
        <v>13084</v>
      </c>
      <c r="K9" s="55">
        <f>K10+K11</f>
        <v>43242</v>
      </c>
      <c r="L9" s="58">
        <f>K9/K29*100</f>
        <v>4.6615367698898487</v>
      </c>
      <c r="M9" s="184">
        <f>K9/G9*100</f>
        <v>75.497590613869676</v>
      </c>
    </row>
    <row r="10" spans="2:13" ht="18.75" customHeight="1" x14ac:dyDescent="0.25">
      <c r="B10" s="52"/>
      <c r="C10" s="52" t="s">
        <v>1000</v>
      </c>
      <c r="D10" s="53" t="s">
        <v>1001</v>
      </c>
      <c r="E10" s="55">
        <v>30562</v>
      </c>
      <c r="F10" s="55">
        <v>15762</v>
      </c>
      <c r="G10" s="55">
        <f>E10+F10</f>
        <v>46324</v>
      </c>
      <c r="H10" s="58">
        <f>G10/G29*100</f>
        <v>5.0002968400032382</v>
      </c>
      <c r="I10" s="55">
        <v>23390</v>
      </c>
      <c r="J10" s="55">
        <v>11334</v>
      </c>
      <c r="K10" s="55">
        <f>I10+J10</f>
        <v>34724</v>
      </c>
      <c r="L10" s="58">
        <f>K10/K29*100</f>
        <v>3.7432866841879449</v>
      </c>
      <c r="M10" s="184">
        <f>K10/G10*100</f>
        <v>74.95898454364908</v>
      </c>
    </row>
    <row r="11" spans="2:13" ht="18.75" customHeight="1" x14ac:dyDescent="0.25">
      <c r="B11" s="52"/>
      <c r="C11" s="52" t="s">
        <v>1002</v>
      </c>
      <c r="D11" s="53" t="s">
        <v>1003</v>
      </c>
      <c r="E11" s="55">
        <v>9202</v>
      </c>
      <c r="F11" s="55">
        <v>1750</v>
      </c>
      <c r="G11" s="55">
        <f>E11+F11</f>
        <v>10952</v>
      </c>
      <c r="H11" s="58">
        <f>G11/G29*100</f>
        <v>1.1821788056237688</v>
      </c>
      <c r="I11" s="55">
        <v>6768</v>
      </c>
      <c r="J11" s="55">
        <v>1750</v>
      </c>
      <c r="K11" s="55">
        <f>I11+J11</f>
        <v>8518</v>
      </c>
      <c r="L11" s="58">
        <f>K11/K29*100</f>
        <v>0.91825008570190403</v>
      </c>
      <c r="M11" s="184">
        <f>K11/G11*100</f>
        <v>77.775748721694669</v>
      </c>
    </row>
    <row r="12" spans="2:13" ht="18.75" customHeight="1" x14ac:dyDescent="0.25">
      <c r="B12" s="189" t="s">
        <v>248</v>
      </c>
      <c r="C12" s="189"/>
      <c r="D12" s="53" t="s">
        <v>328</v>
      </c>
      <c r="E12" s="55">
        <v>350</v>
      </c>
      <c r="F12" s="55">
        <v>250</v>
      </c>
      <c r="G12" s="55">
        <f>E12+F12</f>
        <v>600</v>
      </c>
      <c r="H12" s="58">
        <f>G12/G29*100</f>
        <v>6.4765091615619191E-2</v>
      </c>
      <c r="I12" s="55">
        <v>1350</v>
      </c>
      <c r="J12" s="55">
        <v>250</v>
      </c>
      <c r="K12" s="55">
        <f>I12+J12</f>
        <v>1600</v>
      </c>
      <c r="L12" s="58">
        <f>K12/K29*100</f>
        <v>0.17248181933823037</v>
      </c>
      <c r="M12" s="184">
        <f>K12/G12*100</f>
        <v>266.66666666666663</v>
      </c>
    </row>
    <row r="13" spans="2:13" ht="18.75" customHeight="1" x14ac:dyDescent="0.25">
      <c r="B13" s="52" t="s">
        <v>249</v>
      </c>
      <c r="C13" s="52"/>
      <c r="D13" s="53" t="s">
        <v>1004</v>
      </c>
      <c r="E13" s="55">
        <f>E14-E15+E16-E17-E18</f>
        <v>503531</v>
      </c>
      <c r="F13" s="55">
        <f>F14-F15+F16-F17-F18</f>
        <v>247438</v>
      </c>
      <c r="G13" s="55">
        <f>G14-G15+G16-G17-G18</f>
        <v>750969</v>
      </c>
      <c r="H13" s="58">
        <f>G13/G29*100</f>
        <v>81.060960142483196</v>
      </c>
      <c r="I13" s="55">
        <f>I14-I15+I16-I17-I18</f>
        <v>505415</v>
      </c>
      <c r="J13" s="55">
        <f>J14-J15+J16-J17-J18</f>
        <v>257389</v>
      </c>
      <c r="K13" s="55">
        <f>K14-K15+K16-K17-K18</f>
        <v>762804</v>
      </c>
      <c r="L13" s="58">
        <f>K13/K29*100</f>
        <v>82.23113857404968</v>
      </c>
      <c r="M13" s="184">
        <f t="shared" ref="M13:M57" si="0">K13/G13*100</f>
        <v>101.57596385469974</v>
      </c>
    </row>
    <row r="14" spans="2:13" ht="18.75" customHeight="1" x14ac:dyDescent="0.25">
      <c r="B14" s="52"/>
      <c r="C14" s="52" t="s">
        <v>470</v>
      </c>
      <c r="D14" s="53" t="s">
        <v>1005</v>
      </c>
      <c r="E14" s="55">
        <v>511221</v>
      </c>
      <c r="F14" s="55">
        <v>250876</v>
      </c>
      <c r="G14" s="55">
        <f>E14+F14</f>
        <v>762097</v>
      </c>
      <c r="H14" s="58">
        <f>G14/G29*100</f>
        <v>82.262136708314216</v>
      </c>
      <c r="I14" s="55">
        <v>513246</v>
      </c>
      <c r="J14" s="55">
        <v>261472</v>
      </c>
      <c r="K14" s="55">
        <f>I14+J14</f>
        <v>774718</v>
      </c>
      <c r="L14" s="58">
        <f>K14/K29*100</f>
        <v>83.515481321296974</v>
      </c>
      <c r="M14" s="184">
        <f t="shared" si="0"/>
        <v>101.65608839819602</v>
      </c>
    </row>
    <row r="15" spans="2:13" ht="18.75" customHeight="1" x14ac:dyDescent="0.25">
      <c r="B15" s="52"/>
      <c r="C15" s="52" t="s">
        <v>471</v>
      </c>
      <c r="D15" s="53" t="s">
        <v>1006</v>
      </c>
      <c r="E15" s="55">
        <v>3415</v>
      </c>
      <c r="F15" s="55">
        <v>2669</v>
      </c>
      <c r="G15" s="55">
        <f>E15+F15</f>
        <v>6084</v>
      </c>
      <c r="H15" s="58">
        <f>G15/G29*100</f>
        <v>0.65671802898237852</v>
      </c>
      <c r="I15" s="55">
        <v>3608</v>
      </c>
      <c r="J15" s="55">
        <v>3313</v>
      </c>
      <c r="K15" s="55">
        <f>I15+J15</f>
        <v>6921</v>
      </c>
      <c r="L15" s="58">
        <f>K15/K29*100</f>
        <v>0.7460916697749328</v>
      </c>
      <c r="M15" s="184">
        <f t="shared" si="0"/>
        <v>113.75739644970415</v>
      </c>
    </row>
    <row r="16" spans="2:13" ht="18.75" customHeight="1" x14ac:dyDescent="0.25">
      <c r="B16" s="52"/>
      <c r="C16" s="52" t="s">
        <v>473</v>
      </c>
      <c r="D16" s="53" t="s">
        <v>1007</v>
      </c>
      <c r="E16" s="55">
        <v>1786</v>
      </c>
      <c r="F16" s="55">
        <v>1731</v>
      </c>
      <c r="G16" s="55">
        <f>E16+F16</f>
        <v>3517</v>
      </c>
      <c r="H16" s="58">
        <f>G16/G29*100</f>
        <v>0.37963137868688779</v>
      </c>
      <c r="I16" s="55">
        <v>1856</v>
      </c>
      <c r="J16" s="55">
        <v>1765</v>
      </c>
      <c r="K16" s="55">
        <f>I16+J16</f>
        <v>3621</v>
      </c>
      <c r="L16" s="58">
        <f>K16/K29*100</f>
        <v>0.39034791738983265</v>
      </c>
      <c r="M16" s="184">
        <f t="shared" si="0"/>
        <v>102.9570656809781</v>
      </c>
    </row>
    <row r="17" spans="2:13" ht="18.75" customHeight="1" x14ac:dyDescent="0.25">
      <c r="B17" s="52"/>
      <c r="C17" s="52" t="s">
        <v>474</v>
      </c>
      <c r="D17" s="53" t="s">
        <v>1008</v>
      </c>
      <c r="E17" s="55">
        <v>217</v>
      </c>
      <c r="F17" s="55">
        <v>166</v>
      </c>
      <c r="G17" s="55">
        <f>E17+F17</f>
        <v>383</v>
      </c>
      <c r="H17" s="58">
        <f>G17/G29*100</f>
        <v>4.1341716814636914E-2</v>
      </c>
      <c r="I17" s="55">
        <v>225</v>
      </c>
      <c r="J17" s="55">
        <v>186</v>
      </c>
      <c r="K17" s="55">
        <f>I17+J17</f>
        <v>411</v>
      </c>
      <c r="L17" s="58">
        <f>K17/K29*100</f>
        <v>4.4306267342507928E-2</v>
      </c>
      <c r="M17" s="184">
        <f t="shared" si="0"/>
        <v>107.31070496083549</v>
      </c>
    </row>
    <row r="18" spans="2:13" ht="18.75" customHeight="1" x14ac:dyDescent="0.25">
      <c r="B18" s="52"/>
      <c r="C18" s="52" t="s">
        <v>1009</v>
      </c>
      <c r="D18" s="53" t="s">
        <v>475</v>
      </c>
      <c r="E18" s="55">
        <v>5844</v>
      </c>
      <c r="F18" s="55">
        <v>2334</v>
      </c>
      <c r="G18" s="55">
        <f>E18+F18</f>
        <v>8178</v>
      </c>
      <c r="H18" s="58">
        <f>G18/G29*100</f>
        <v>0.88274819872088939</v>
      </c>
      <c r="I18" s="55">
        <v>5854</v>
      </c>
      <c r="J18" s="55">
        <v>2349</v>
      </c>
      <c r="K18" s="55">
        <f>I18+J18</f>
        <v>8203</v>
      </c>
      <c r="L18" s="58">
        <f>K18/K29*100</f>
        <v>0.8842927275196899</v>
      </c>
      <c r="M18" s="184">
        <f t="shared" si="0"/>
        <v>100.30569821472241</v>
      </c>
    </row>
    <row r="19" spans="2:13" ht="18.75" customHeight="1" x14ac:dyDescent="0.25">
      <c r="B19" s="52" t="s">
        <v>250</v>
      </c>
      <c r="C19" s="52"/>
      <c r="D19" s="53" t="s">
        <v>1010</v>
      </c>
      <c r="E19" s="55">
        <f>E20+E23</f>
        <v>28689</v>
      </c>
      <c r="F19" s="55">
        <f>F20+F23</f>
        <v>7894</v>
      </c>
      <c r="G19" s="55">
        <f>G20+G23</f>
        <v>36583</v>
      </c>
      <c r="H19" s="58">
        <f>G19/G29*100</f>
        <v>3.9488355776236608</v>
      </c>
      <c r="I19" s="55">
        <f>I20+I23</f>
        <v>28017</v>
      </c>
      <c r="J19" s="55">
        <f>J20+J23</f>
        <v>7704</v>
      </c>
      <c r="K19" s="55">
        <f>K20+K23</f>
        <v>35721</v>
      </c>
      <c r="L19" s="58">
        <f>K19/K29*100</f>
        <v>3.85076441786308</v>
      </c>
      <c r="M19" s="184">
        <f t="shared" si="0"/>
        <v>97.643714293524326</v>
      </c>
    </row>
    <row r="20" spans="2:13" ht="18.75" customHeight="1" x14ac:dyDescent="0.25">
      <c r="B20" s="52"/>
      <c r="C20" s="52" t="s">
        <v>1011</v>
      </c>
      <c r="D20" s="53" t="s">
        <v>1012</v>
      </c>
      <c r="E20" s="55">
        <f>E21-E22</f>
        <v>22759</v>
      </c>
      <c r="F20" s="55">
        <f>F21-F22</f>
        <v>5899</v>
      </c>
      <c r="G20" s="55">
        <f>G21-G22</f>
        <v>28658</v>
      </c>
      <c r="H20" s="58">
        <f>G20/G29*100</f>
        <v>3.0933966592006907</v>
      </c>
      <c r="I20" s="55">
        <f>I21-I22</f>
        <v>22183</v>
      </c>
      <c r="J20" s="55">
        <f>J21-J22</f>
        <v>5807</v>
      </c>
      <c r="K20" s="55">
        <f>K21-K22</f>
        <v>27990</v>
      </c>
      <c r="L20" s="58">
        <f>K20/K29*100</f>
        <v>3.0173538270481677</v>
      </c>
      <c r="M20" s="184">
        <f t="shared" si="0"/>
        <v>97.669062739898109</v>
      </c>
    </row>
    <row r="21" spans="2:13" ht="18.75" customHeight="1" x14ac:dyDescent="0.25">
      <c r="B21" s="52"/>
      <c r="C21" s="52" t="s">
        <v>1013</v>
      </c>
      <c r="D21" s="53" t="s">
        <v>1014</v>
      </c>
      <c r="E21" s="55">
        <v>64995</v>
      </c>
      <c r="F21" s="55">
        <v>11448</v>
      </c>
      <c r="G21" s="55">
        <f>E21+F21</f>
        <v>76443</v>
      </c>
      <c r="H21" s="58">
        <f>G21/G29*100-0.1</f>
        <v>8.151396497287962</v>
      </c>
      <c r="I21" s="55">
        <v>64448</v>
      </c>
      <c r="J21" s="55">
        <v>11400</v>
      </c>
      <c r="K21" s="55">
        <f>I21+J21</f>
        <v>75848</v>
      </c>
      <c r="L21" s="58">
        <f>K21/K29*100-0.1</f>
        <v>8.076500645728812</v>
      </c>
      <c r="M21" s="184">
        <f t="shared" si="0"/>
        <v>99.221642269403347</v>
      </c>
    </row>
    <row r="22" spans="2:13" ht="18.75" customHeight="1" x14ac:dyDescent="0.25">
      <c r="B22" s="52"/>
      <c r="C22" s="52" t="s">
        <v>1015</v>
      </c>
      <c r="D22" s="53" t="s">
        <v>1016</v>
      </c>
      <c r="E22" s="55">
        <v>42236</v>
      </c>
      <c r="F22" s="55">
        <v>5549</v>
      </c>
      <c r="G22" s="55">
        <f>E22+F22</f>
        <v>47785</v>
      </c>
      <c r="H22" s="58">
        <f>G22/G29*100</f>
        <v>5.1579998380872709</v>
      </c>
      <c r="I22" s="55">
        <v>42265</v>
      </c>
      <c r="J22" s="55">
        <v>5593</v>
      </c>
      <c r="K22" s="55">
        <f>I22+J22</f>
        <v>47858</v>
      </c>
      <c r="L22" s="58">
        <f>K22/K29*100</f>
        <v>5.1591468186806431</v>
      </c>
      <c r="M22" s="184">
        <f t="shared" si="0"/>
        <v>100.15276760489694</v>
      </c>
    </row>
    <row r="23" spans="2:13" ht="18.75" customHeight="1" x14ac:dyDescent="0.25">
      <c r="B23" s="52"/>
      <c r="C23" s="52" t="s">
        <v>1017</v>
      </c>
      <c r="D23" s="53" t="s">
        <v>1018</v>
      </c>
      <c r="E23" s="55">
        <f>E24-E25</f>
        <v>5930</v>
      </c>
      <c r="F23" s="55">
        <f>F24-F25</f>
        <v>1995</v>
      </c>
      <c r="G23" s="55">
        <f>G24-G25</f>
        <v>7925</v>
      </c>
      <c r="H23" s="58">
        <f>G23/G29*100</f>
        <v>0.85543891842297004</v>
      </c>
      <c r="I23" s="55">
        <f>I24-I25</f>
        <v>5834</v>
      </c>
      <c r="J23" s="55">
        <f>J24-J25</f>
        <v>1897</v>
      </c>
      <c r="K23" s="55">
        <f>K24-K25</f>
        <v>7731</v>
      </c>
      <c r="L23" s="58">
        <f>K23/K29*100</f>
        <v>0.83341059081491198</v>
      </c>
      <c r="M23" s="184">
        <f t="shared" si="0"/>
        <v>97.552050473186128</v>
      </c>
    </row>
    <row r="24" spans="2:13" ht="18.75" customHeight="1" x14ac:dyDescent="0.25">
      <c r="B24" s="52"/>
      <c r="C24" s="52" t="s">
        <v>1019</v>
      </c>
      <c r="D24" s="53" t="s">
        <v>1020</v>
      </c>
      <c r="E24" s="55">
        <v>10658</v>
      </c>
      <c r="F24" s="55">
        <v>4935</v>
      </c>
      <c r="G24" s="55">
        <f>E24+F24</f>
        <v>15593</v>
      </c>
      <c r="H24" s="58">
        <f>G24/G29*100</f>
        <v>1.6831367892705833</v>
      </c>
      <c r="I24" s="55">
        <v>10743</v>
      </c>
      <c r="J24" s="55">
        <v>4938</v>
      </c>
      <c r="K24" s="55">
        <f>I24+J24</f>
        <v>15681</v>
      </c>
      <c r="L24" s="58">
        <f>K24/K29*100</f>
        <v>1.6904296306517443</v>
      </c>
      <c r="M24" s="184">
        <f t="shared" si="0"/>
        <v>100.56435580067979</v>
      </c>
    </row>
    <row r="25" spans="2:13" ht="18.75" customHeight="1" x14ac:dyDescent="0.25">
      <c r="B25" s="52"/>
      <c r="C25" s="52" t="s">
        <v>1021</v>
      </c>
      <c r="D25" s="53" t="s">
        <v>1022</v>
      </c>
      <c r="E25" s="55">
        <v>4728</v>
      </c>
      <c r="F25" s="55">
        <v>2940</v>
      </c>
      <c r="G25" s="55">
        <f>E25+F25</f>
        <v>7668</v>
      </c>
      <c r="H25" s="58">
        <f>G25/G29*100</f>
        <v>0.82769787084761315</v>
      </c>
      <c r="I25" s="55">
        <v>4909</v>
      </c>
      <c r="J25" s="55">
        <v>3041</v>
      </c>
      <c r="K25" s="55">
        <f>I25+J25</f>
        <v>7950</v>
      </c>
      <c r="L25" s="58">
        <f>K25/K29*100</f>
        <v>0.85701903983683225</v>
      </c>
      <c r="M25" s="184">
        <f>K25/G25*100</f>
        <v>103.67762128325508</v>
      </c>
    </row>
    <row r="26" spans="2:13" ht="18.75" customHeight="1" x14ac:dyDescent="0.25">
      <c r="B26" s="52" t="s">
        <v>251</v>
      </c>
      <c r="C26" s="52"/>
      <c r="D26" s="53" t="s">
        <v>330</v>
      </c>
      <c r="E26" s="55">
        <v>70379</v>
      </c>
      <c r="F26" s="55">
        <v>0</v>
      </c>
      <c r="G26" s="55">
        <f>E26+F26</f>
        <v>70379</v>
      </c>
      <c r="H26" s="58">
        <f>G26/G29*100</f>
        <v>7.5968373046927704</v>
      </c>
      <c r="I26" s="55">
        <v>70379</v>
      </c>
      <c r="J26" s="55">
        <v>0</v>
      </c>
      <c r="K26" s="55">
        <f>I26+J26</f>
        <v>70379</v>
      </c>
      <c r="L26" s="58">
        <f>K26/K29*100</f>
        <v>7.5869362270033225</v>
      </c>
      <c r="M26" s="184">
        <f t="shared" si="0"/>
        <v>100</v>
      </c>
    </row>
    <row r="27" spans="2:13" ht="18.75" customHeight="1" x14ac:dyDescent="0.25">
      <c r="B27" s="52" t="s">
        <v>252</v>
      </c>
      <c r="C27" s="52"/>
      <c r="D27" s="53" t="s">
        <v>22</v>
      </c>
      <c r="E27" s="55">
        <v>8567</v>
      </c>
      <c r="F27" s="55">
        <v>2053</v>
      </c>
      <c r="G27" s="55">
        <f>E27+F27</f>
        <v>10620</v>
      </c>
      <c r="H27" s="58">
        <f>G27/G29*100</f>
        <v>1.1463421215964595</v>
      </c>
      <c r="I27" s="55">
        <v>8984</v>
      </c>
      <c r="J27" s="55">
        <v>4906</v>
      </c>
      <c r="K27" s="55">
        <f>I27+J27</f>
        <v>13890</v>
      </c>
      <c r="L27" s="58">
        <f>K27/K29*100</f>
        <v>1.4973577941300125</v>
      </c>
      <c r="M27" s="184">
        <f t="shared" si="0"/>
        <v>130.79096045197741</v>
      </c>
    </row>
    <row r="28" spans="2:13" ht="18.75" customHeight="1" x14ac:dyDescent="0.25">
      <c r="B28" s="52" t="s">
        <v>253</v>
      </c>
      <c r="C28" s="52"/>
      <c r="D28" s="188" t="s">
        <v>331</v>
      </c>
      <c r="E28" s="55">
        <v>2</v>
      </c>
      <c r="F28" s="55">
        <v>0</v>
      </c>
      <c r="G28" s="55">
        <f>E28+F28</f>
        <v>2</v>
      </c>
      <c r="H28" s="58">
        <f>G28/G29*100</f>
        <v>2.1588363871873059E-4</v>
      </c>
      <c r="I28" s="55">
        <v>2</v>
      </c>
      <c r="J28" s="55">
        <v>0</v>
      </c>
      <c r="K28" s="55">
        <f>I28+J28</f>
        <v>2</v>
      </c>
      <c r="L28" s="58">
        <f>K28/K29*100</f>
        <v>2.1560227417278795E-4</v>
      </c>
      <c r="M28" s="184">
        <f t="shared" si="0"/>
        <v>100</v>
      </c>
    </row>
    <row r="29" spans="2:13" ht="18.75" customHeight="1" x14ac:dyDescent="0.25">
      <c r="B29" s="50" t="s">
        <v>254</v>
      </c>
      <c r="C29" s="50"/>
      <c r="D29" s="49" t="s">
        <v>1023</v>
      </c>
      <c r="E29" s="56">
        <f>E9+E12+E13+E19+E26+E27-E28</f>
        <v>651278</v>
      </c>
      <c r="F29" s="56">
        <f>F9+F12+F13+F19+F26+F27-F28</f>
        <v>275147</v>
      </c>
      <c r="G29" s="56">
        <f>G9+G12+G13+G19+G26+G27-G28</f>
        <v>926425</v>
      </c>
      <c r="H29" s="59">
        <f>H9+H12+H13+H19+H26+H27+H28</f>
        <v>100.00043176727742</v>
      </c>
      <c r="I29" s="56">
        <f>I9+I12+I13+I19+I26+I27-I28</f>
        <v>644301</v>
      </c>
      <c r="J29" s="56">
        <f>J9+J12+J13+J19+J26+J27-J28</f>
        <v>283333</v>
      </c>
      <c r="K29" s="56">
        <f>K9+K12+K13+K19+K26+K27-K28</f>
        <v>927634</v>
      </c>
      <c r="L29" s="59">
        <f>L9+L12+L13+L19+L26+L27+L28</f>
        <v>100.00043120454833</v>
      </c>
      <c r="M29" s="185">
        <f t="shared" si="0"/>
        <v>100.13050165960547</v>
      </c>
    </row>
    <row r="30" spans="2:13" ht="18.75" customHeight="1" x14ac:dyDescent="0.25">
      <c r="B30" s="475" t="s">
        <v>156</v>
      </c>
      <c r="C30" s="475"/>
      <c r="D30" s="475"/>
      <c r="E30" s="476"/>
      <c r="F30" s="476"/>
      <c r="G30" s="476"/>
      <c r="H30" s="476"/>
      <c r="I30" s="476"/>
      <c r="J30" s="476"/>
      <c r="K30" s="476"/>
      <c r="L30" s="476"/>
      <c r="M30" s="476"/>
    </row>
    <row r="31" spans="2:13" ht="18.75" customHeight="1" x14ac:dyDescent="0.25">
      <c r="B31" s="52" t="s">
        <v>558</v>
      </c>
      <c r="C31" s="52"/>
      <c r="D31" s="83" t="s">
        <v>1024</v>
      </c>
      <c r="E31" s="55">
        <f>SUM(E32:E34)</f>
        <v>279848</v>
      </c>
      <c r="F31" s="55">
        <f>SUM(F32:F34)</f>
        <v>165904</v>
      </c>
      <c r="G31" s="55">
        <f>SUM(G32:G34)</f>
        <v>445752</v>
      </c>
      <c r="H31" s="60">
        <f>G31/G48*100+0.1</f>
        <v>48.215281863075802</v>
      </c>
      <c r="I31" s="55">
        <f>SUM(I32:I34)</f>
        <v>255129</v>
      </c>
      <c r="J31" s="55">
        <f>SUM(J32:J34)</f>
        <v>171558</v>
      </c>
      <c r="K31" s="55">
        <f>SUM(K32:K34)</f>
        <v>426687</v>
      </c>
      <c r="L31" s="60">
        <f>K31/K48*100+0.1</f>
        <v>46.097343779982189</v>
      </c>
      <c r="M31" s="184">
        <f t="shared" si="0"/>
        <v>95.722958057395147</v>
      </c>
    </row>
    <row r="32" spans="2:13" ht="18.75" customHeight="1" x14ac:dyDescent="0.25">
      <c r="B32" s="52"/>
      <c r="C32" s="52" t="s">
        <v>1025</v>
      </c>
      <c r="D32" s="83" t="s">
        <v>1026</v>
      </c>
      <c r="E32" s="55">
        <v>21621</v>
      </c>
      <c r="F32" s="55">
        <v>4000</v>
      </c>
      <c r="G32" s="55">
        <f>E32+F32</f>
        <v>25621</v>
      </c>
      <c r="H32" s="60">
        <f>G32/G48*100</f>
        <v>2.7655773538062984</v>
      </c>
      <c r="I32" s="55">
        <v>14501</v>
      </c>
      <c r="J32" s="55">
        <v>1340</v>
      </c>
      <c r="K32" s="55">
        <f>I32+J32</f>
        <v>15841</v>
      </c>
      <c r="L32" s="60">
        <f>K32/K48*100</f>
        <v>1.7076778125855669</v>
      </c>
      <c r="M32" s="184">
        <f t="shared" si="0"/>
        <v>61.828187814683268</v>
      </c>
    </row>
    <row r="33" spans="2:13" ht="18.75" customHeight="1" x14ac:dyDescent="0.25">
      <c r="B33" s="52"/>
      <c r="C33" s="52" t="s">
        <v>1027</v>
      </c>
      <c r="D33" s="83" t="s">
        <v>1028</v>
      </c>
      <c r="E33" s="55">
        <v>256283</v>
      </c>
      <c r="F33" s="55">
        <v>160132</v>
      </c>
      <c r="G33" s="55">
        <f>E33+F33</f>
        <v>416415</v>
      </c>
      <c r="H33" s="60">
        <f>G33/G48*100</f>
        <v>44.9485927085301</v>
      </c>
      <c r="I33" s="55">
        <v>238501</v>
      </c>
      <c r="J33" s="55">
        <v>168647</v>
      </c>
      <c r="K33" s="55">
        <f>I33+J33</f>
        <v>407148</v>
      </c>
      <c r="L33" s="60">
        <f>K33/K48*100</f>
        <v>43.891017362451137</v>
      </c>
      <c r="M33" s="184">
        <f t="shared" si="0"/>
        <v>97.774575843809657</v>
      </c>
    </row>
    <row r="34" spans="2:13" ht="18.75" customHeight="1" x14ac:dyDescent="0.25">
      <c r="B34" s="52"/>
      <c r="C34" s="52" t="s">
        <v>1029</v>
      </c>
      <c r="D34" s="83" t="s">
        <v>309</v>
      </c>
      <c r="E34" s="55">
        <v>1944</v>
      </c>
      <c r="F34" s="55">
        <v>1772</v>
      </c>
      <c r="G34" s="55">
        <f>E34+F34</f>
        <v>3716</v>
      </c>
      <c r="H34" s="60">
        <f>G34/G48*100</f>
        <v>0.40111180073940145</v>
      </c>
      <c r="I34" s="55">
        <v>2127</v>
      </c>
      <c r="J34" s="55">
        <v>1571</v>
      </c>
      <c r="K34" s="55">
        <f>I34+J34</f>
        <v>3698</v>
      </c>
      <c r="L34" s="60">
        <f>K34/K48*100</f>
        <v>0.39864860494548499</v>
      </c>
      <c r="M34" s="184">
        <f t="shared" si="0"/>
        <v>99.515608180839607</v>
      </c>
    </row>
    <row r="35" spans="2:13" ht="18.75" customHeight="1" x14ac:dyDescent="0.25">
      <c r="B35" s="52" t="s">
        <v>256</v>
      </c>
      <c r="C35" s="52"/>
      <c r="D35" s="83" t="s">
        <v>24</v>
      </c>
      <c r="E35" s="55">
        <v>33917</v>
      </c>
      <c r="F35" s="55">
        <v>10653</v>
      </c>
      <c r="G35" s="55">
        <f>E35+F35</f>
        <v>44570</v>
      </c>
      <c r="H35" s="60">
        <f>G35/G48*100</f>
        <v>4.8109668888469113</v>
      </c>
      <c r="I35" s="55">
        <v>47380</v>
      </c>
      <c r="J35" s="55">
        <v>10773</v>
      </c>
      <c r="K35" s="55">
        <f>I35+J35</f>
        <v>58153</v>
      </c>
      <c r="L35" s="60">
        <f>K35/K48*100</f>
        <v>6.2689595249850694</v>
      </c>
      <c r="M35" s="184">
        <f t="shared" si="0"/>
        <v>130.47565627103432</v>
      </c>
    </row>
    <row r="36" spans="2:13" ht="18.75" customHeight="1" x14ac:dyDescent="0.25">
      <c r="B36" s="50" t="s">
        <v>257</v>
      </c>
      <c r="C36" s="50"/>
      <c r="D36" s="354" t="s">
        <v>1030</v>
      </c>
      <c r="E36" s="56">
        <f>E31+E35</f>
        <v>313765</v>
      </c>
      <c r="F36" s="56">
        <f>F31+F35</f>
        <v>176557</v>
      </c>
      <c r="G36" s="56">
        <f>G31+G35</f>
        <v>490322</v>
      </c>
      <c r="H36" s="220">
        <f>G36/G48*100</f>
        <v>52.926248751922714</v>
      </c>
      <c r="I36" s="56">
        <f>I31+I35</f>
        <v>302509</v>
      </c>
      <c r="J36" s="56">
        <f>J31+J35</f>
        <v>182331</v>
      </c>
      <c r="K36" s="56">
        <f>K31+K35</f>
        <v>484840</v>
      </c>
      <c r="L36" s="220">
        <f>K36/K48*100</f>
        <v>52.266303304967266</v>
      </c>
      <c r="M36" s="185">
        <f t="shared" si="0"/>
        <v>98.881959202320118</v>
      </c>
    </row>
    <row r="37" spans="2:13" ht="18.75" customHeight="1" x14ac:dyDescent="0.25">
      <c r="B37" s="52" t="s">
        <v>258</v>
      </c>
      <c r="C37" s="52"/>
      <c r="D37" s="83" t="s">
        <v>163</v>
      </c>
      <c r="E37" s="55">
        <v>48098</v>
      </c>
      <c r="F37" s="55">
        <v>0</v>
      </c>
      <c r="G37" s="55">
        <f>E37+F37</f>
        <v>48098</v>
      </c>
      <c r="H37" s="60">
        <f>G37/G48*100</f>
        <v>5.1917856275467518</v>
      </c>
      <c r="I37" s="55">
        <v>48098</v>
      </c>
      <c r="J37" s="55">
        <v>0</v>
      </c>
      <c r="K37" s="55">
        <f>I37+J37</f>
        <v>48098</v>
      </c>
      <c r="L37" s="60">
        <f>K37/K48*100</f>
        <v>5.1850190915813785</v>
      </c>
      <c r="M37" s="184">
        <f t="shared" si="0"/>
        <v>100</v>
      </c>
    </row>
    <row r="38" spans="2:13" ht="18.75" customHeight="1" x14ac:dyDescent="0.25">
      <c r="B38" s="52" t="s">
        <v>259</v>
      </c>
      <c r="C38" s="52"/>
      <c r="D38" s="83" t="s">
        <v>59</v>
      </c>
      <c r="E38" s="55">
        <v>3626</v>
      </c>
      <c r="F38" s="55">
        <v>72211</v>
      </c>
      <c r="G38" s="55">
        <f>E38+F38</f>
        <v>75837</v>
      </c>
      <c r="H38" s="60">
        <f>G38/G48*100</f>
        <v>8.1859837547561867</v>
      </c>
      <c r="I38" s="55">
        <v>3626</v>
      </c>
      <c r="J38" s="55">
        <v>72211</v>
      </c>
      <c r="K38" s="55">
        <f>I38+J38</f>
        <v>75837</v>
      </c>
      <c r="L38" s="60">
        <f>K38/K48*100</f>
        <v>8.1753148332208614</v>
      </c>
      <c r="M38" s="184">
        <f t="shared" si="0"/>
        <v>100</v>
      </c>
    </row>
    <row r="39" spans="2:13" ht="18.75" customHeight="1" x14ac:dyDescent="0.25">
      <c r="B39" s="52" t="s">
        <v>260</v>
      </c>
      <c r="C39" s="52"/>
      <c r="D39" s="83" t="s">
        <v>1031</v>
      </c>
      <c r="E39" s="55">
        <v>0</v>
      </c>
      <c r="F39" s="55">
        <v>0</v>
      </c>
      <c r="G39" s="55">
        <f>E39+F39</f>
        <v>0</v>
      </c>
      <c r="H39" s="60">
        <f>G39/G48*100</f>
        <v>0</v>
      </c>
      <c r="I39" s="55">
        <v>0</v>
      </c>
      <c r="J39" s="55">
        <v>0</v>
      </c>
      <c r="K39" s="55">
        <f>I39+J39</f>
        <v>0</v>
      </c>
      <c r="L39" s="60">
        <f>K39/K48*100</f>
        <v>0</v>
      </c>
      <c r="M39" s="184" t="s">
        <v>80</v>
      </c>
    </row>
    <row r="40" spans="2:13" ht="18.75" customHeight="1" x14ac:dyDescent="0.25">
      <c r="B40" s="52" t="s">
        <v>696</v>
      </c>
      <c r="C40" s="52"/>
      <c r="D40" s="83" t="s">
        <v>1032</v>
      </c>
      <c r="E40" s="55">
        <f>E41+E42</f>
        <v>337919</v>
      </c>
      <c r="F40" s="55">
        <f>F41+F42</f>
        <v>18615</v>
      </c>
      <c r="G40" s="55">
        <f>G41+G42</f>
        <v>356534</v>
      </c>
      <c r="H40" s="60">
        <f>G40/G48*100</f>
        <v>38.484928623471944</v>
      </c>
      <c r="I40" s="55">
        <f>I41+I42</f>
        <v>342169</v>
      </c>
      <c r="J40" s="55">
        <f>J41+J42</f>
        <v>21027</v>
      </c>
      <c r="K40" s="55">
        <f>K41+K42</f>
        <v>363196</v>
      </c>
      <c r="L40" s="60">
        <f>K40/K48*100</f>
        <v>39.152941785229949</v>
      </c>
      <c r="M40" s="184">
        <f t="shared" si="0"/>
        <v>101.8685454963622</v>
      </c>
    </row>
    <row r="41" spans="2:13" ht="18.75" customHeight="1" x14ac:dyDescent="0.25">
      <c r="B41" s="52"/>
      <c r="C41" s="52" t="s">
        <v>1033</v>
      </c>
      <c r="D41" s="83" t="s">
        <v>1034</v>
      </c>
      <c r="E41" s="55">
        <v>322286</v>
      </c>
      <c r="F41" s="55">
        <v>10684</v>
      </c>
      <c r="G41" s="55">
        <f>E41+F41</f>
        <v>332970</v>
      </c>
      <c r="H41" s="60">
        <f>G41/G48*100</f>
        <v>35.941387592087864</v>
      </c>
      <c r="I41" s="55">
        <v>337922</v>
      </c>
      <c r="J41" s="55">
        <v>18615</v>
      </c>
      <c r="K41" s="55">
        <f>I41+J41</f>
        <v>356537</v>
      </c>
      <c r="L41" s="60">
        <f>K41/K48*100</f>
        <v>38.435094013371653</v>
      </c>
      <c r="M41" s="184">
        <f t="shared" si="0"/>
        <v>107.07781481815179</v>
      </c>
    </row>
    <row r="42" spans="2:13" ht="18.75" customHeight="1" x14ac:dyDescent="0.25">
      <c r="B42" s="52"/>
      <c r="C42" s="52" t="s">
        <v>1035</v>
      </c>
      <c r="D42" s="83" t="s">
        <v>1036</v>
      </c>
      <c r="E42" s="55">
        <v>15633</v>
      </c>
      <c r="F42" s="55">
        <v>7931</v>
      </c>
      <c r="G42" s="55">
        <f>E42+F42</f>
        <v>23564</v>
      </c>
      <c r="H42" s="60">
        <f>G42/G48*100</f>
        <v>2.5435410313840841</v>
      </c>
      <c r="I42" s="55">
        <v>4247</v>
      </c>
      <c r="J42" s="55">
        <v>2412</v>
      </c>
      <c r="K42" s="55">
        <f>I42+J42</f>
        <v>6659</v>
      </c>
      <c r="L42" s="60">
        <f>K42/K48*100</f>
        <v>0.71784777185829751</v>
      </c>
      <c r="M42" s="184">
        <f t="shared" si="0"/>
        <v>28.259208962824651</v>
      </c>
    </row>
    <row r="43" spans="2:13" ht="18.75" customHeight="1" x14ac:dyDescent="0.25">
      <c r="B43" s="52" t="s">
        <v>698</v>
      </c>
      <c r="C43" s="52"/>
      <c r="D43" s="83" t="s">
        <v>1037</v>
      </c>
      <c r="E43" s="55">
        <f>E44+E45</f>
        <v>55027</v>
      </c>
      <c r="F43" s="55">
        <f>F44+F45</f>
        <v>0</v>
      </c>
      <c r="G43" s="55">
        <f>G44+G45</f>
        <v>55027</v>
      </c>
      <c r="H43" s="60">
        <f>G43/G48*100</f>
        <v>5.939714493887795</v>
      </c>
      <c r="I43" s="55">
        <f>I44+I45</f>
        <v>54905</v>
      </c>
      <c r="J43" s="55">
        <f>J44+J45</f>
        <v>0</v>
      </c>
      <c r="K43" s="55">
        <f>K44+K45</f>
        <v>54905</v>
      </c>
      <c r="L43" s="60">
        <f>K43/K48*100</f>
        <v>5.9188214317284622</v>
      </c>
      <c r="M43" s="184">
        <f t="shared" si="0"/>
        <v>99.77829065731369</v>
      </c>
    </row>
    <row r="44" spans="2:13" ht="18.75" customHeight="1" x14ac:dyDescent="0.25">
      <c r="B44" s="52"/>
      <c r="C44" s="52" t="s">
        <v>1038</v>
      </c>
      <c r="D44" s="83" t="s">
        <v>1034</v>
      </c>
      <c r="E44" s="55">
        <v>54412</v>
      </c>
      <c r="F44" s="55">
        <v>0</v>
      </c>
      <c r="G44" s="55">
        <f>E44+F44</f>
        <v>54412</v>
      </c>
      <c r="H44" s="60">
        <f>G44/G48*100</f>
        <v>5.8733302749817851</v>
      </c>
      <c r="I44" s="55">
        <v>54787</v>
      </c>
      <c r="J44" s="55">
        <v>0</v>
      </c>
      <c r="K44" s="55">
        <f>I44+J44</f>
        <v>54787</v>
      </c>
      <c r="L44" s="60">
        <f>K44/K48*100</f>
        <v>5.9061008975522675</v>
      </c>
      <c r="M44" s="184">
        <f t="shared" si="0"/>
        <v>100.68918620892451</v>
      </c>
    </row>
    <row r="45" spans="2:13" ht="18.75" customHeight="1" x14ac:dyDescent="0.25">
      <c r="B45" s="52"/>
      <c r="C45" s="52" t="s">
        <v>1039</v>
      </c>
      <c r="D45" s="83" t="s">
        <v>1036</v>
      </c>
      <c r="E45" s="55">
        <v>615</v>
      </c>
      <c r="F45" s="55">
        <v>0</v>
      </c>
      <c r="G45" s="55">
        <f>E45+F45</f>
        <v>615</v>
      </c>
      <c r="H45" s="60">
        <f>G45/G48*100</f>
        <v>6.6384218906009651E-2</v>
      </c>
      <c r="I45" s="55">
        <v>118</v>
      </c>
      <c r="J45" s="55">
        <v>0</v>
      </c>
      <c r="K45" s="55">
        <f>I45+J45</f>
        <v>118</v>
      </c>
      <c r="L45" s="60">
        <f>K45/K48*100</f>
        <v>1.2720534176194492E-2</v>
      </c>
      <c r="M45" s="184">
        <f t="shared" si="0"/>
        <v>19.1869918699187</v>
      </c>
    </row>
    <row r="46" spans="2:13" ht="18.75" customHeight="1" x14ac:dyDescent="0.25">
      <c r="B46" s="52" t="s">
        <v>701</v>
      </c>
      <c r="C46" s="52"/>
      <c r="D46" s="83" t="s">
        <v>1040</v>
      </c>
      <c r="E46" s="55">
        <v>2897</v>
      </c>
      <c r="F46" s="55">
        <v>7764</v>
      </c>
      <c r="G46" s="55">
        <f>E46+F46</f>
        <v>10661</v>
      </c>
      <c r="H46" s="60">
        <f>G46/G48*100</f>
        <v>1.1507677361901936</v>
      </c>
      <c r="I46" s="55">
        <v>2804</v>
      </c>
      <c r="J46" s="55">
        <v>7764</v>
      </c>
      <c r="K46" s="55">
        <f>I46+J46</f>
        <v>10568</v>
      </c>
      <c r="L46" s="60">
        <f>K46/K48*100</f>
        <v>1.1392424167290116</v>
      </c>
      <c r="M46" s="184">
        <f t="shared" si="0"/>
        <v>99.12766157020917</v>
      </c>
    </row>
    <row r="47" spans="2:13" ht="18.75" customHeight="1" x14ac:dyDescent="0.25">
      <c r="B47" s="50" t="s">
        <v>703</v>
      </c>
      <c r="C47" s="50"/>
      <c r="D47" s="354" t="s">
        <v>1041</v>
      </c>
      <c r="E47" s="56">
        <f>E37+E38+E40-E43+E46</f>
        <v>337513</v>
      </c>
      <c r="F47" s="56">
        <f>F37+F38+F40-F43+F46</f>
        <v>98590</v>
      </c>
      <c r="G47" s="56">
        <f>G37+G38+G40-G43+G46</f>
        <v>436103</v>
      </c>
      <c r="H47" s="220">
        <f>G47/G48*100</f>
        <v>47.073751248077286</v>
      </c>
      <c r="I47" s="56">
        <f>I37+I38+I40-I43+I46</f>
        <v>341792</v>
      </c>
      <c r="J47" s="56">
        <f>J37+J38+J40-J43+J46</f>
        <v>101002</v>
      </c>
      <c r="K47" s="56">
        <f>K37+K38+K40-K43+K46</f>
        <v>442794</v>
      </c>
      <c r="L47" s="220">
        <f>K47/K48*100</f>
        <v>47.733696695032741</v>
      </c>
      <c r="M47" s="185">
        <f t="shared" si="0"/>
        <v>101.53427057369476</v>
      </c>
    </row>
    <row r="48" spans="2:13" ht="18.75" customHeight="1" x14ac:dyDescent="0.25">
      <c r="B48" s="50" t="s">
        <v>705</v>
      </c>
      <c r="C48" s="49"/>
      <c r="D48" s="49" t="s">
        <v>1042</v>
      </c>
      <c r="E48" s="56">
        <f t="shared" ref="E48:L48" si="1">E36+E47</f>
        <v>651278</v>
      </c>
      <c r="F48" s="56">
        <f t="shared" si="1"/>
        <v>275147</v>
      </c>
      <c r="G48" s="56">
        <f t="shared" si="1"/>
        <v>926425</v>
      </c>
      <c r="H48" s="185">
        <f t="shared" si="1"/>
        <v>100</v>
      </c>
      <c r="I48" s="56">
        <f t="shared" si="1"/>
        <v>644301</v>
      </c>
      <c r="J48" s="56">
        <f t="shared" si="1"/>
        <v>283333</v>
      </c>
      <c r="K48" s="56">
        <f t="shared" si="1"/>
        <v>927634</v>
      </c>
      <c r="L48" s="185">
        <f t="shared" si="1"/>
        <v>100</v>
      </c>
      <c r="M48" s="185">
        <f t="shared" si="0"/>
        <v>100.13050165960547</v>
      </c>
    </row>
    <row r="49" spans="2:13" ht="18.75" customHeight="1" x14ac:dyDescent="0.25">
      <c r="B49" s="52"/>
      <c r="C49" s="52"/>
      <c r="D49" s="140" t="s">
        <v>1043</v>
      </c>
      <c r="E49" s="55"/>
      <c r="F49" s="55"/>
      <c r="G49" s="55"/>
      <c r="H49" s="191"/>
      <c r="I49" s="55"/>
      <c r="J49" s="55"/>
      <c r="K49" s="55"/>
      <c r="L49" s="192"/>
      <c r="M49" s="184"/>
    </row>
    <row r="50" spans="2:13" ht="18.75" customHeight="1" x14ac:dyDescent="0.25">
      <c r="B50" s="52" t="s">
        <v>1044</v>
      </c>
      <c r="C50" s="52"/>
      <c r="D50" s="53" t="s">
        <v>1045</v>
      </c>
      <c r="E50" s="55">
        <v>84600</v>
      </c>
      <c r="F50" s="55">
        <v>13930</v>
      </c>
      <c r="G50" s="55">
        <f>E50+F50</f>
        <v>98530</v>
      </c>
      <c r="H50" s="191"/>
      <c r="I50" s="55">
        <v>84346</v>
      </c>
      <c r="J50" s="55">
        <v>14782</v>
      </c>
      <c r="K50" s="55">
        <f>I50+J50</f>
        <v>99128</v>
      </c>
      <c r="L50" s="192"/>
      <c r="M50" s="184">
        <f t="shared" si="0"/>
        <v>100.6069217497209</v>
      </c>
    </row>
    <row r="51" spans="2:13" ht="18.75" customHeight="1" x14ac:dyDescent="0.25">
      <c r="B51" s="52" t="s">
        <v>709</v>
      </c>
      <c r="C51" s="52"/>
      <c r="D51" s="53" t="s">
        <v>1046</v>
      </c>
      <c r="E51" s="55">
        <v>39771</v>
      </c>
      <c r="F51" s="55">
        <v>318</v>
      </c>
      <c r="G51" s="55">
        <f>E51+F51</f>
        <v>40089</v>
      </c>
      <c r="H51" s="191"/>
      <c r="I51" s="55">
        <v>39776</v>
      </c>
      <c r="J51" s="55">
        <v>335</v>
      </c>
      <c r="K51" s="55">
        <f>I51+J51</f>
        <v>40111</v>
      </c>
      <c r="L51" s="192"/>
      <c r="M51" s="184">
        <f t="shared" si="0"/>
        <v>100.05487789667988</v>
      </c>
    </row>
    <row r="52" spans="2:13" ht="18.75" customHeight="1" x14ac:dyDescent="0.25">
      <c r="B52" s="52" t="s">
        <v>1047</v>
      </c>
      <c r="C52" s="52"/>
      <c r="D52" s="53" t="s">
        <v>1048</v>
      </c>
      <c r="E52" s="55">
        <v>5966</v>
      </c>
      <c r="F52" s="55">
        <v>571</v>
      </c>
      <c r="G52" s="55">
        <f>E52+F52</f>
        <v>6537</v>
      </c>
      <c r="H52" s="191"/>
      <c r="I52" s="55">
        <v>5994</v>
      </c>
      <c r="J52" s="55">
        <v>635</v>
      </c>
      <c r="K52" s="55">
        <f>I52+J52</f>
        <v>6629</v>
      </c>
      <c r="L52" s="192"/>
      <c r="M52" s="184">
        <f t="shared" si="0"/>
        <v>101.40737341288053</v>
      </c>
    </row>
    <row r="53" spans="2:13" ht="18.75" customHeight="1" x14ac:dyDescent="0.25">
      <c r="B53" s="52" t="s">
        <v>713</v>
      </c>
      <c r="C53" s="52"/>
      <c r="D53" s="53" t="s">
        <v>1049</v>
      </c>
      <c r="E53" s="55">
        <f>SUM(E50:E52)</f>
        <v>130337</v>
      </c>
      <c r="F53" s="55">
        <f>SUM(F50:F52)</f>
        <v>14819</v>
      </c>
      <c r="G53" s="55">
        <f>SUM(G50:G52)</f>
        <v>145156</v>
      </c>
      <c r="H53" s="191"/>
      <c r="I53" s="55">
        <f>SUM(I50:I52)</f>
        <v>130116</v>
      </c>
      <c r="J53" s="55">
        <f>SUM(J50:J52)</f>
        <v>15752</v>
      </c>
      <c r="K53" s="55">
        <f>SUM(K50:K52)</f>
        <v>145868</v>
      </c>
      <c r="L53" s="192"/>
      <c r="M53" s="184">
        <f t="shared" si="0"/>
        <v>100.49050676513545</v>
      </c>
    </row>
    <row r="54" spans="2:13" ht="18.75" customHeight="1" x14ac:dyDescent="0.25">
      <c r="B54" s="52" t="s">
        <v>715</v>
      </c>
      <c r="C54" s="52"/>
      <c r="D54" s="53" t="s">
        <v>1050</v>
      </c>
      <c r="E54" s="55">
        <v>6416</v>
      </c>
      <c r="F54" s="55">
        <v>5815</v>
      </c>
      <c r="G54" s="55">
        <f>E54+F54</f>
        <v>12231</v>
      </c>
      <c r="H54" s="191"/>
      <c r="I54" s="55">
        <v>9635</v>
      </c>
      <c r="J54" s="55">
        <v>5043</v>
      </c>
      <c r="K54" s="55">
        <f>I54+J54</f>
        <v>14678</v>
      </c>
      <c r="L54" s="192"/>
      <c r="M54" s="184">
        <f t="shared" si="0"/>
        <v>120.00654075709262</v>
      </c>
    </row>
    <row r="55" spans="2:13" ht="18.75" customHeight="1" x14ac:dyDescent="0.25">
      <c r="B55" s="52" t="s">
        <v>718</v>
      </c>
      <c r="C55" s="52"/>
      <c r="D55" s="53" t="s">
        <v>1051</v>
      </c>
      <c r="E55" s="55">
        <v>0</v>
      </c>
      <c r="F55" s="55">
        <v>0</v>
      </c>
      <c r="G55" s="55">
        <f>E55+F55</f>
        <v>0</v>
      </c>
      <c r="H55" s="191"/>
      <c r="I55" s="55">
        <v>0</v>
      </c>
      <c r="J55" s="55">
        <v>0</v>
      </c>
      <c r="K55" s="55">
        <f>I55+J55</f>
        <v>0</v>
      </c>
      <c r="L55" s="192"/>
      <c r="M55" s="184" t="s">
        <v>80</v>
      </c>
    </row>
    <row r="56" spans="2:13" ht="34.5" customHeight="1" x14ac:dyDescent="0.25">
      <c r="B56" s="52" t="s">
        <v>720</v>
      </c>
      <c r="C56" s="52"/>
      <c r="D56" s="53" t="s">
        <v>1052</v>
      </c>
      <c r="E56" s="55">
        <v>546</v>
      </c>
      <c r="F56" s="55">
        <v>0</v>
      </c>
      <c r="G56" s="55">
        <f>E56+F56</f>
        <v>546</v>
      </c>
      <c r="H56" s="191"/>
      <c r="I56" s="55">
        <v>546</v>
      </c>
      <c r="J56" s="55">
        <v>0</v>
      </c>
      <c r="K56" s="55">
        <f>I56+J56</f>
        <v>546</v>
      </c>
      <c r="L56" s="192"/>
      <c r="M56" s="184">
        <f>K56/G56*100</f>
        <v>100</v>
      </c>
    </row>
    <row r="57" spans="2:13" ht="30.75" customHeight="1" x14ac:dyDescent="0.25">
      <c r="B57" s="52" t="s">
        <v>722</v>
      </c>
      <c r="C57" s="52"/>
      <c r="D57" s="53" t="s">
        <v>1053</v>
      </c>
      <c r="E57" s="55">
        <v>51129</v>
      </c>
      <c r="F57" s="55">
        <v>41260</v>
      </c>
      <c r="G57" s="55">
        <f>E57+F57</f>
        <v>92389</v>
      </c>
      <c r="H57" s="191"/>
      <c r="I57" s="55">
        <v>49245</v>
      </c>
      <c r="J57" s="55">
        <v>42127</v>
      </c>
      <c r="K57" s="55">
        <f>I57+J57</f>
        <v>91372</v>
      </c>
      <c r="L57" s="192"/>
      <c r="M57" s="184">
        <f t="shared" si="0"/>
        <v>98.899219604065408</v>
      </c>
    </row>
  </sheetData>
  <mergeCells count="8">
    <mergeCell ref="B30:D30"/>
    <mergeCell ref="E30:M30"/>
    <mergeCell ref="B4:M4"/>
    <mergeCell ref="B5:B6"/>
    <mergeCell ref="D5:D6"/>
    <mergeCell ref="E5:H5"/>
    <mergeCell ref="I5:L5"/>
    <mergeCell ref="E8:M8"/>
  </mergeCells>
  <pageMargins left="0.7" right="0.7" top="0.75" bottom="0.75" header="0.3" footer="0.3"/>
  <ignoredErrors>
    <ignoredError sqref="G13:H29 H9 G37:G40 G43 H47 G53 I36:K36 K13 H40:L43 K23 K53" formula="1"/>
    <ignoredError sqref="E32:H35 E31:G31 E36:F36 I31:J31" formulaRange="1"/>
    <ignoredError sqref="H31 G36:H36" formula="1" formulaRange="1"/>
  </ignoredErrors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L16"/>
  <sheetViews>
    <sheetView workbookViewId="0">
      <selection activeCell="J25" sqref="J25"/>
    </sheetView>
  </sheetViews>
  <sheetFormatPr defaultColWidth="9.140625"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4.85546875" style="1" customWidth="1"/>
    <col min="9" max="9" width="11.42578125" style="1" customWidth="1"/>
    <col min="10" max="10" width="11.7109375" style="1" customWidth="1"/>
    <col min="11" max="11" width="10.5703125" style="1" customWidth="1"/>
    <col min="12" max="12" width="10.7109375" style="1" customWidth="1"/>
    <col min="13" max="16384" width="9.140625" style="1"/>
  </cols>
  <sheetData>
    <row r="3" spans="2:12" ht="16.5" thickBot="1" x14ac:dyDescent="0.3">
      <c r="L3" s="355" t="s">
        <v>270</v>
      </c>
    </row>
    <row r="4" spans="2:12" ht="15.75" customHeight="1" thickTop="1" x14ac:dyDescent="0.25">
      <c r="B4" s="477" t="s">
        <v>1351</v>
      </c>
      <c r="C4" s="477"/>
      <c r="D4" s="477"/>
      <c r="E4" s="477"/>
      <c r="F4" s="477"/>
      <c r="G4" s="477"/>
      <c r="H4" s="477"/>
      <c r="I4" s="477"/>
      <c r="J4" s="477"/>
      <c r="K4" s="477"/>
      <c r="L4" s="477"/>
    </row>
    <row r="5" spans="2:12" ht="17.25" customHeight="1" x14ac:dyDescent="0.25">
      <c r="B5" s="443" t="s">
        <v>100</v>
      </c>
      <c r="C5" s="448" t="s">
        <v>161</v>
      </c>
      <c r="D5" s="443" t="s">
        <v>613</v>
      </c>
      <c r="E5" s="443"/>
      <c r="F5" s="443"/>
      <c r="G5" s="443"/>
      <c r="H5" s="443" t="s">
        <v>614</v>
      </c>
      <c r="I5" s="443"/>
      <c r="J5" s="443"/>
      <c r="K5" s="443"/>
      <c r="L5" s="170" t="s">
        <v>1</v>
      </c>
    </row>
    <row r="6" spans="2:12" ht="15.75" customHeight="1" x14ac:dyDescent="0.25">
      <c r="B6" s="443"/>
      <c r="C6" s="448"/>
      <c r="D6" s="443" t="s">
        <v>152</v>
      </c>
      <c r="E6" s="443" t="s">
        <v>298</v>
      </c>
      <c r="F6" s="443" t="s">
        <v>18</v>
      </c>
      <c r="G6" s="443" t="s">
        <v>32</v>
      </c>
      <c r="H6" s="443" t="s">
        <v>162</v>
      </c>
      <c r="I6" s="443" t="s">
        <v>153</v>
      </c>
      <c r="J6" s="443" t="s">
        <v>18</v>
      </c>
      <c r="K6" s="443" t="s">
        <v>32</v>
      </c>
      <c r="L6" s="448" t="s">
        <v>370</v>
      </c>
    </row>
    <row r="7" spans="2:12" ht="15.75" customHeight="1" x14ac:dyDescent="0.25">
      <c r="B7" s="443"/>
      <c r="C7" s="448"/>
      <c r="D7" s="443"/>
      <c r="E7" s="443"/>
      <c r="F7" s="443"/>
      <c r="G7" s="443"/>
      <c r="H7" s="443"/>
      <c r="I7" s="443"/>
      <c r="J7" s="443"/>
      <c r="K7" s="443"/>
      <c r="L7" s="448"/>
    </row>
    <row r="8" spans="2:12" x14ac:dyDescent="0.25">
      <c r="B8" s="48">
        <v>1</v>
      </c>
      <c r="C8" s="104">
        <v>2</v>
      </c>
      <c r="D8" s="104">
        <v>3</v>
      </c>
      <c r="E8" s="104">
        <v>4</v>
      </c>
      <c r="F8" s="104" t="s">
        <v>310</v>
      </c>
      <c r="G8" s="104">
        <v>6</v>
      </c>
      <c r="H8" s="104">
        <v>7</v>
      </c>
      <c r="I8" s="104">
        <v>8</v>
      </c>
      <c r="J8" s="104" t="s">
        <v>297</v>
      </c>
      <c r="K8" s="104">
        <v>10</v>
      </c>
      <c r="L8" s="104">
        <v>11</v>
      </c>
    </row>
    <row r="9" spans="2:12" x14ac:dyDescent="0.25">
      <c r="B9" s="52" t="s">
        <v>247</v>
      </c>
      <c r="C9" s="199" t="s">
        <v>163</v>
      </c>
      <c r="D9" s="195">
        <v>48098</v>
      </c>
      <c r="E9" s="197">
        <v>0</v>
      </c>
      <c r="F9" s="200">
        <f t="shared" ref="F9:F15" si="0">D9+E9</f>
        <v>48098</v>
      </c>
      <c r="G9" s="201">
        <f>F9/F16*100</f>
        <v>11.029045890535034</v>
      </c>
      <c r="H9" s="195">
        <v>48098</v>
      </c>
      <c r="I9" s="197">
        <v>0</v>
      </c>
      <c r="J9" s="200">
        <f>H9+I9</f>
        <v>48098</v>
      </c>
      <c r="K9" s="201">
        <f>J9/J16*100</f>
        <v>10.862387475891724</v>
      </c>
      <c r="L9" s="202">
        <f>J9/F9*100</f>
        <v>100</v>
      </c>
    </row>
    <row r="10" spans="2:12" x14ac:dyDescent="0.25">
      <c r="B10" s="52" t="s">
        <v>248</v>
      </c>
      <c r="C10" s="199" t="s">
        <v>59</v>
      </c>
      <c r="D10" s="195">
        <v>3626</v>
      </c>
      <c r="E10" s="195">
        <v>72211</v>
      </c>
      <c r="F10" s="200">
        <f t="shared" si="0"/>
        <v>75837</v>
      </c>
      <c r="G10" s="201">
        <f>F10/F16*100</f>
        <v>17.3896992224314</v>
      </c>
      <c r="H10" s="195">
        <v>3626</v>
      </c>
      <c r="I10" s="195">
        <v>72211</v>
      </c>
      <c r="J10" s="200">
        <f t="shared" ref="J10:J15" si="1">H10+I10</f>
        <v>75837</v>
      </c>
      <c r="K10" s="201">
        <f>J10/J16*100</f>
        <v>17.12692583910351</v>
      </c>
      <c r="L10" s="202">
        <f>J10/F10*100</f>
        <v>100</v>
      </c>
    </row>
    <row r="11" spans="2:12" ht="31.5" x14ac:dyDescent="0.25">
      <c r="B11" s="52" t="s">
        <v>249</v>
      </c>
      <c r="C11" s="83" t="s">
        <v>1056</v>
      </c>
      <c r="D11" s="195">
        <v>282892</v>
      </c>
      <c r="E11" s="197">
        <v>0</v>
      </c>
      <c r="F11" s="195">
        <f t="shared" si="0"/>
        <v>282892</v>
      </c>
      <c r="G11" s="201">
        <f>F11/F16*100</f>
        <v>64.868161879189088</v>
      </c>
      <c r="H11" s="195">
        <v>287264</v>
      </c>
      <c r="I11" s="197">
        <v>0</v>
      </c>
      <c r="J11" s="195">
        <f t="shared" si="1"/>
        <v>287264</v>
      </c>
      <c r="K11" s="201">
        <f>J11/J16*100</f>
        <v>64.875314480322672</v>
      </c>
      <c r="L11" s="202">
        <f>J11/F11*100</f>
        <v>101.54546611427682</v>
      </c>
    </row>
    <row r="12" spans="2:12" x14ac:dyDescent="0.25">
      <c r="B12" s="52" t="s">
        <v>250</v>
      </c>
      <c r="C12" s="199" t="s">
        <v>164</v>
      </c>
      <c r="D12" s="197">
        <v>0</v>
      </c>
      <c r="E12" s="197">
        <v>0</v>
      </c>
      <c r="F12" s="200">
        <f t="shared" si="0"/>
        <v>0</v>
      </c>
      <c r="G12" s="201">
        <f>F12/F16*100</f>
        <v>0</v>
      </c>
      <c r="H12" s="197">
        <v>0</v>
      </c>
      <c r="I12" s="197">
        <v>0</v>
      </c>
      <c r="J12" s="200">
        <f t="shared" si="1"/>
        <v>0</v>
      </c>
      <c r="K12" s="201">
        <f>J12/J16*100</f>
        <v>0</v>
      </c>
      <c r="L12" s="202" t="s">
        <v>80</v>
      </c>
    </row>
    <row r="13" spans="2:12" x14ac:dyDescent="0.25">
      <c r="B13" s="52" t="s">
        <v>251</v>
      </c>
      <c r="C13" s="199" t="s">
        <v>165</v>
      </c>
      <c r="D13" s="197">
        <v>0</v>
      </c>
      <c r="E13" s="195">
        <v>18615</v>
      </c>
      <c r="F13" s="200">
        <f t="shared" si="0"/>
        <v>18615</v>
      </c>
      <c r="G13" s="201">
        <f>F13/F16*100</f>
        <v>4.2684870317333292</v>
      </c>
      <c r="H13" s="197">
        <v>0</v>
      </c>
      <c r="I13" s="195">
        <v>21027</v>
      </c>
      <c r="J13" s="200">
        <f t="shared" si="1"/>
        <v>21027</v>
      </c>
      <c r="K13" s="201">
        <f>J13/J16*100</f>
        <v>4.7487093321047711</v>
      </c>
      <c r="L13" s="202">
        <f>J13/F13*100</f>
        <v>112.95729250604352</v>
      </c>
    </row>
    <row r="14" spans="2:12" x14ac:dyDescent="0.25">
      <c r="B14" s="52" t="s">
        <v>252</v>
      </c>
      <c r="C14" s="199" t="s">
        <v>166</v>
      </c>
      <c r="D14" s="197">
        <v>0</v>
      </c>
      <c r="E14" s="195">
        <v>7764</v>
      </c>
      <c r="F14" s="200">
        <f t="shared" si="0"/>
        <v>7764</v>
      </c>
      <c r="G14" s="201">
        <f>F14/F16*100</f>
        <v>1.7803133663377688</v>
      </c>
      <c r="H14" s="197">
        <v>0</v>
      </c>
      <c r="I14" s="195">
        <v>7764</v>
      </c>
      <c r="J14" s="200">
        <f t="shared" si="1"/>
        <v>7764</v>
      </c>
      <c r="K14" s="201">
        <f>J14/J16*100</f>
        <v>1.7534112928359464</v>
      </c>
      <c r="L14" s="202">
        <f>J14/F14*100</f>
        <v>100</v>
      </c>
    </row>
    <row r="15" spans="2:12" x14ac:dyDescent="0.25">
      <c r="B15" s="52" t="s">
        <v>253</v>
      </c>
      <c r="C15" s="199" t="s">
        <v>167</v>
      </c>
      <c r="D15" s="195">
        <v>2897</v>
      </c>
      <c r="E15" s="195">
        <v>0</v>
      </c>
      <c r="F15" s="200">
        <f t="shared" si="0"/>
        <v>2897</v>
      </c>
      <c r="G15" s="201">
        <f>F15/F16*100</f>
        <v>0.66429260977337923</v>
      </c>
      <c r="H15" s="195">
        <v>2804</v>
      </c>
      <c r="I15" s="195">
        <v>0</v>
      </c>
      <c r="J15" s="200">
        <f t="shared" si="1"/>
        <v>2804</v>
      </c>
      <c r="K15" s="201">
        <f>J15/J16*100</f>
        <v>0.63325157974136959</v>
      </c>
      <c r="L15" s="202">
        <f>J15/F15*100</f>
        <v>96.789782533655512</v>
      </c>
    </row>
    <row r="16" spans="2:12" x14ac:dyDescent="0.25">
      <c r="B16" s="448" t="s">
        <v>168</v>
      </c>
      <c r="C16" s="448"/>
      <c r="D16" s="157">
        <f t="shared" ref="D16:K16" si="2">SUM(D9:D15)</f>
        <v>337513</v>
      </c>
      <c r="E16" s="157">
        <f t="shared" si="2"/>
        <v>98590</v>
      </c>
      <c r="F16" s="157">
        <f t="shared" si="2"/>
        <v>436103</v>
      </c>
      <c r="G16" s="203">
        <f t="shared" si="2"/>
        <v>100</v>
      </c>
      <c r="H16" s="157">
        <f t="shared" si="2"/>
        <v>341792</v>
      </c>
      <c r="I16" s="204">
        <f t="shared" si="2"/>
        <v>101002</v>
      </c>
      <c r="J16" s="204">
        <f t="shared" si="2"/>
        <v>442794</v>
      </c>
      <c r="K16" s="203">
        <f t="shared" si="2"/>
        <v>100</v>
      </c>
      <c r="L16" s="190">
        <f>J16/F16*100</f>
        <v>101.53427057369476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H16:I16 D16:E16" formulaRang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L11"/>
  <sheetViews>
    <sheetView workbookViewId="0"/>
  </sheetViews>
  <sheetFormatPr defaultRowHeight="15" x14ac:dyDescent="0.25"/>
  <cols>
    <col min="2" max="2" width="7" customWidth="1"/>
    <col min="3" max="3" width="44.710937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</cols>
  <sheetData>
    <row r="1" spans="1:12" x14ac:dyDescent="0.25">
      <c r="A1" s="41"/>
    </row>
    <row r="2" spans="1:12" ht="15.75" x14ac:dyDescent="0.25">
      <c r="B2" s="29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thickBot="1" x14ac:dyDescent="0.3">
      <c r="B3" s="215" t="s">
        <v>178</v>
      </c>
      <c r="C3" s="65"/>
      <c r="D3" s="65"/>
      <c r="E3" s="65"/>
      <c r="F3" s="65"/>
      <c r="G3" s="65"/>
      <c r="H3" s="65"/>
      <c r="I3" s="65"/>
      <c r="J3" s="65"/>
      <c r="K3" s="65"/>
      <c r="L3" s="206" t="s">
        <v>271</v>
      </c>
    </row>
    <row r="4" spans="1:12" ht="16.5" thickTop="1" x14ac:dyDescent="0.25">
      <c r="B4" s="478" t="s">
        <v>1352</v>
      </c>
      <c r="C4" s="478"/>
      <c r="D4" s="478"/>
      <c r="E4" s="478"/>
      <c r="F4" s="478"/>
      <c r="G4" s="478"/>
      <c r="H4" s="478"/>
      <c r="I4" s="478"/>
      <c r="J4" s="478"/>
      <c r="K4" s="478"/>
      <c r="L4" s="478"/>
    </row>
    <row r="5" spans="1:12" ht="15.75" x14ac:dyDescent="0.25">
      <c r="B5" s="450" t="s">
        <v>100</v>
      </c>
      <c r="C5" s="474" t="s">
        <v>56</v>
      </c>
      <c r="D5" s="474" t="s">
        <v>613</v>
      </c>
      <c r="E5" s="474"/>
      <c r="F5" s="474"/>
      <c r="G5" s="474"/>
      <c r="H5" s="474" t="s">
        <v>614</v>
      </c>
      <c r="I5" s="474"/>
      <c r="J5" s="474"/>
      <c r="K5" s="474"/>
      <c r="L5" s="84" t="s">
        <v>1</v>
      </c>
    </row>
    <row r="6" spans="1:12" ht="15.75" x14ac:dyDescent="0.25">
      <c r="B6" s="450"/>
      <c r="C6" s="474"/>
      <c r="D6" s="256" t="s">
        <v>157</v>
      </c>
      <c r="E6" s="256" t="s">
        <v>158</v>
      </c>
      <c r="F6" s="256" t="s">
        <v>18</v>
      </c>
      <c r="G6" s="256" t="s">
        <v>32</v>
      </c>
      <c r="H6" s="256" t="s">
        <v>157</v>
      </c>
      <c r="I6" s="256" t="s">
        <v>158</v>
      </c>
      <c r="J6" s="256" t="s">
        <v>18</v>
      </c>
      <c r="K6" s="256" t="s">
        <v>32</v>
      </c>
      <c r="L6" s="84" t="s">
        <v>370</v>
      </c>
    </row>
    <row r="7" spans="1:12" x14ac:dyDescent="0.25">
      <c r="B7" s="86">
        <v>1</v>
      </c>
      <c r="C7" s="125">
        <v>2</v>
      </c>
      <c r="D7" s="125">
        <v>3</v>
      </c>
      <c r="E7" s="125">
        <v>4</v>
      </c>
      <c r="F7" s="125" t="s">
        <v>296</v>
      </c>
      <c r="G7" s="125">
        <v>6</v>
      </c>
      <c r="H7" s="125">
        <v>7</v>
      </c>
      <c r="I7" s="125">
        <v>8</v>
      </c>
      <c r="J7" s="125" t="s">
        <v>297</v>
      </c>
      <c r="K7" s="125">
        <v>10</v>
      </c>
      <c r="L7" s="125">
        <v>11</v>
      </c>
    </row>
    <row r="8" spans="1:12" ht="15.75" x14ac:dyDescent="0.25">
      <c r="B8" s="101" t="s">
        <v>247</v>
      </c>
      <c r="C8" s="132" t="s">
        <v>1057</v>
      </c>
      <c r="D8" s="195">
        <v>21621</v>
      </c>
      <c r="E8" s="105">
        <v>4000</v>
      </c>
      <c r="F8" s="105">
        <f>D8+E8</f>
        <v>25621</v>
      </c>
      <c r="G8" s="194">
        <f>F8/F11*100</f>
        <v>5.7478149284804108</v>
      </c>
      <c r="H8" s="195">
        <v>14501</v>
      </c>
      <c r="I8" s="105">
        <v>1340</v>
      </c>
      <c r="J8" s="141">
        <f>H8+I8</f>
        <v>15841</v>
      </c>
      <c r="K8" s="194">
        <f>J8/J$11*100</f>
        <v>3.7125574484340977</v>
      </c>
      <c r="L8" s="196">
        <f>J8/F8*100</f>
        <v>61.828187814683268</v>
      </c>
    </row>
    <row r="9" spans="1:12" ht="15.75" x14ac:dyDescent="0.25">
      <c r="B9" s="101" t="s">
        <v>248</v>
      </c>
      <c r="C9" s="132" t="s">
        <v>1028</v>
      </c>
      <c r="D9" s="195">
        <v>256283</v>
      </c>
      <c r="E9" s="105">
        <v>160132</v>
      </c>
      <c r="F9" s="105">
        <f>D9+E9</f>
        <v>416415</v>
      </c>
      <c r="G9" s="194">
        <f>F9/F11*100</f>
        <v>93.418537662197807</v>
      </c>
      <c r="H9" s="195">
        <v>238501</v>
      </c>
      <c r="I9" s="105">
        <v>168647</v>
      </c>
      <c r="J9" s="141">
        <f t="shared" ref="J9:J10" si="0">H9+I9</f>
        <v>407148</v>
      </c>
      <c r="K9" s="194">
        <f>J9/J$11*100</f>
        <v>95.42076510416301</v>
      </c>
      <c r="L9" s="196">
        <f t="shared" ref="L9:L10" si="1">J9/F9*100</f>
        <v>97.774575843809657</v>
      </c>
    </row>
    <row r="10" spans="1:12" ht="15.75" x14ac:dyDescent="0.25">
      <c r="B10" s="101" t="s">
        <v>249</v>
      </c>
      <c r="C10" s="132" t="s">
        <v>309</v>
      </c>
      <c r="D10" s="195">
        <v>1944</v>
      </c>
      <c r="E10" s="105">
        <v>1772</v>
      </c>
      <c r="F10" s="105">
        <f>D10+E10</f>
        <v>3716</v>
      </c>
      <c r="G10" s="194">
        <f>F10/F11*100</f>
        <v>0.83364740932177528</v>
      </c>
      <c r="H10" s="195">
        <v>2127</v>
      </c>
      <c r="I10" s="105">
        <v>1571</v>
      </c>
      <c r="J10" s="141">
        <f t="shared" si="0"/>
        <v>3698</v>
      </c>
      <c r="K10" s="194">
        <f t="shared" ref="K10" si="2">J10/J$11*100</f>
        <v>0.86667744740289732</v>
      </c>
      <c r="L10" s="196">
        <f t="shared" si="1"/>
        <v>99.515608180839607</v>
      </c>
    </row>
    <row r="11" spans="1:12" ht="15.75" x14ac:dyDescent="0.25">
      <c r="B11" s="474" t="s">
        <v>160</v>
      </c>
      <c r="C11" s="474"/>
      <c r="D11" s="106">
        <f t="shared" ref="D11:K11" si="3">SUM(D8:D10)</f>
        <v>279848</v>
      </c>
      <c r="E11" s="106">
        <f t="shared" si="3"/>
        <v>165904</v>
      </c>
      <c r="F11" s="106">
        <f t="shared" si="3"/>
        <v>445752</v>
      </c>
      <c r="G11" s="198">
        <f t="shared" si="3"/>
        <v>99.999999999999986</v>
      </c>
      <c r="H11" s="127">
        <f t="shared" si="3"/>
        <v>255129</v>
      </c>
      <c r="I11" s="106">
        <f t="shared" si="3"/>
        <v>171558</v>
      </c>
      <c r="J11" s="106">
        <f t="shared" si="3"/>
        <v>426687</v>
      </c>
      <c r="K11" s="198">
        <f t="shared" si="3"/>
        <v>100</v>
      </c>
      <c r="L11" s="198">
        <f>J11/F11*100</f>
        <v>95.722958057395147</v>
      </c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D11:K11 D8:F8 J8:K8 D9:G10 J9:K10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J11"/>
  <sheetViews>
    <sheetView workbookViewId="0"/>
  </sheetViews>
  <sheetFormatPr defaultRowHeight="15" x14ac:dyDescent="0.25"/>
  <cols>
    <col min="2" max="2" width="7.28515625" customWidth="1"/>
    <col min="3" max="3" width="41.85546875" customWidth="1"/>
    <col min="4" max="10" width="12.7109375" customWidth="1"/>
  </cols>
  <sheetData>
    <row r="3" spans="2:10" ht="16.5" thickBot="1" x14ac:dyDescent="0.3">
      <c r="B3" s="334"/>
      <c r="C3" s="334"/>
      <c r="D3" s="334"/>
      <c r="E3" s="334"/>
      <c r="F3" s="334"/>
      <c r="G3" s="334"/>
      <c r="H3" s="334"/>
      <c r="I3" s="334"/>
      <c r="J3" s="206" t="s">
        <v>271</v>
      </c>
    </row>
    <row r="4" spans="2:10" ht="16.5" thickTop="1" x14ac:dyDescent="0.25">
      <c r="B4" s="452" t="s">
        <v>1353</v>
      </c>
      <c r="C4" s="452"/>
      <c r="D4" s="452"/>
      <c r="E4" s="452"/>
      <c r="F4" s="452"/>
      <c r="G4" s="452"/>
      <c r="H4" s="452"/>
      <c r="I4" s="452"/>
      <c r="J4" s="452"/>
    </row>
    <row r="5" spans="2:10" ht="15.75" x14ac:dyDescent="0.25">
      <c r="B5" s="443" t="s">
        <v>100</v>
      </c>
      <c r="C5" s="443" t="s">
        <v>56</v>
      </c>
      <c r="D5" s="443" t="s">
        <v>613</v>
      </c>
      <c r="E5" s="443"/>
      <c r="F5" s="443"/>
      <c r="G5" s="443" t="s">
        <v>614</v>
      </c>
      <c r="H5" s="443"/>
      <c r="I5" s="443"/>
      <c r="J5" s="170" t="s">
        <v>1</v>
      </c>
    </row>
    <row r="6" spans="2:10" ht="15.75" x14ac:dyDescent="0.25">
      <c r="B6" s="443"/>
      <c r="C6" s="443"/>
      <c r="D6" s="50" t="s">
        <v>157</v>
      </c>
      <c r="E6" s="50" t="s">
        <v>158</v>
      </c>
      <c r="F6" s="50" t="s">
        <v>18</v>
      </c>
      <c r="G6" s="50" t="s">
        <v>157</v>
      </c>
      <c r="H6" s="50" t="s">
        <v>158</v>
      </c>
      <c r="I6" s="50" t="s">
        <v>18</v>
      </c>
      <c r="J6" s="170" t="s">
        <v>355</v>
      </c>
    </row>
    <row r="7" spans="2:10" x14ac:dyDescent="0.25">
      <c r="B7" s="104">
        <v>1</v>
      </c>
      <c r="C7" s="104">
        <v>2</v>
      </c>
      <c r="D7" s="104">
        <v>3</v>
      </c>
      <c r="E7" s="104">
        <v>4</v>
      </c>
      <c r="F7" s="104" t="s">
        <v>296</v>
      </c>
      <c r="G7" s="104">
        <v>6</v>
      </c>
      <c r="H7" s="104">
        <v>7</v>
      </c>
      <c r="I7" s="104" t="s">
        <v>311</v>
      </c>
      <c r="J7" s="104">
        <v>9</v>
      </c>
    </row>
    <row r="8" spans="2:10" ht="15.75" x14ac:dyDescent="0.25">
      <c r="B8" s="87" t="s">
        <v>247</v>
      </c>
      <c r="C8" s="199" t="s">
        <v>169</v>
      </c>
      <c r="D8" s="195">
        <v>507163</v>
      </c>
      <c r="E8" s="195">
        <v>250273</v>
      </c>
      <c r="F8" s="195">
        <f>D8+E8</f>
        <v>757436</v>
      </c>
      <c r="G8" s="195">
        <v>509248</v>
      </c>
      <c r="H8" s="195">
        <v>260888</v>
      </c>
      <c r="I8" s="195">
        <f>G8+H8</f>
        <v>770136</v>
      </c>
      <c r="J8" s="202">
        <f>I8/F8*100</f>
        <v>101.67670931933523</v>
      </c>
    </row>
    <row r="9" spans="2:10" ht="15.75" x14ac:dyDescent="0.25">
      <c r="B9" s="87" t="s">
        <v>248</v>
      </c>
      <c r="C9" s="199" t="s">
        <v>170</v>
      </c>
      <c r="D9" s="195">
        <v>3632</v>
      </c>
      <c r="E9" s="195">
        <v>2835</v>
      </c>
      <c r="F9" s="195">
        <f>D9+E9</f>
        <v>6467</v>
      </c>
      <c r="G9" s="195">
        <v>3833</v>
      </c>
      <c r="H9" s="195">
        <v>3499</v>
      </c>
      <c r="I9" s="195">
        <f>G9+H9</f>
        <v>7332</v>
      </c>
      <c r="J9" s="202">
        <f>I9/F9*100</f>
        <v>113.37559919591773</v>
      </c>
    </row>
    <row r="10" spans="2:10" ht="15.75" x14ac:dyDescent="0.25">
      <c r="B10" s="448" t="s">
        <v>312</v>
      </c>
      <c r="C10" s="448"/>
      <c r="D10" s="204">
        <f t="shared" ref="D10:I10" si="0">D8-D9</f>
        <v>503531</v>
      </c>
      <c r="E10" s="204">
        <f t="shared" si="0"/>
        <v>247438</v>
      </c>
      <c r="F10" s="204">
        <f>F8-F9</f>
        <v>750969</v>
      </c>
      <c r="G10" s="204">
        <f t="shared" si="0"/>
        <v>505415</v>
      </c>
      <c r="H10" s="204">
        <f t="shared" si="0"/>
        <v>257389</v>
      </c>
      <c r="I10" s="204">
        <f t="shared" si="0"/>
        <v>762804</v>
      </c>
      <c r="J10" s="190">
        <f>I10/F10*100</f>
        <v>101.57596385469974</v>
      </c>
    </row>
    <row r="11" spans="2:10" x14ac:dyDescent="0.25">
      <c r="B11" s="305" t="s">
        <v>1058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3:H22"/>
  <sheetViews>
    <sheetView workbookViewId="0">
      <selection activeCell="K19" sqref="K19"/>
    </sheetView>
  </sheetViews>
  <sheetFormatPr defaultRowHeight="15" x14ac:dyDescent="0.25"/>
  <cols>
    <col min="2" max="2" width="7.140625" customWidth="1"/>
    <col min="3" max="3" width="49.7109375" customWidth="1"/>
    <col min="4" max="4" width="15.42578125" customWidth="1"/>
    <col min="5" max="5" width="14.5703125" customWidth="1"/>
    <col min="6" max="6" width="14.7109375" customWidth="1"/>
    <col min="7" max="7" width="12.28515625" customWidth="1"/>
    <col min="8" max="8" width="10.140625" customWidth="1"/>
  </cols>
  <sheetData>
    <row r="3" spans="2:8" ht="16.5" thickBot="1" x14ac:dyDescent="0.3">
      <c r="B3" s="75"/>
      <c r="C3" s="75"/>
      <c r="D3" s="75"/>
      <c r="E3" s="75"/>
      <c r="F3" s="75"/>
      <c r="G3" s="75"/>
      <c r="H3" s="221" t="s">
        <v>271</v>
      </c>
    </row>
    <row r="4" spans="2:8" ht="16.5" thickTop="1" x14ac:dyDescent="0.25">
      <c r="B4" s="452" t="s">
        <v>1354</v>
      </c>
      <c r="C4" s="452"/>
      <c r="D4" s="452"/>
      <c r="E4" s="452"/>
      <c r="F4" s="452"/>
      <c r="G4" s="452"/>
      <c r="H4" s="452"/>
    </row>
    <row r="5" spans="2:8" ht="31.5" x14ac:dyDescent="0.25">
      <c r="B5" s="50" t="s">
        <v>100</v>
      </c>
      <c r="C5" s="50" t="s">
        <v>171</v>
      </c>
      <c r="D5" s="50" t="s">
        <v>172</v>
      </c>
      <c r="E5" s="50" t="s">
        <v>1059</v>
      </c>
      <c r="F5" s="50" t="s">
        <v>202</v>
      </c>
      <c r="G5" s="50" t="s">
        <v>18</v>
      </c>
      <c r="H5" s="50" t="s">
        <v>32</v>
      </c>
    </row>
    <row r="6" spans="2:8" x14ac:dyDescent="0.25">
      <c r="B6" s="48">
        <v>1</v>
      </c>
      <c r="C6" s="48">
        <v>2</v>
      </c>
      <c r="D6" s="48">
        <v>3</v>
      </c>
      <c r="E6" s="48">
        <v>4</v>
      </c>
      <c r="F6" s="48">
        <v>5</v>
      </c>
      <c r="G6" s="48" t="s">
        <v>313</v>
      </c>
      <c r="H6" s="48">
        <v>7</v>
      </c>
    </row>
    <row r="7" spans="2:8" ht="15.75" x14ac:dyDescent="0.25">
      <c r="B7" s="209" t="s">
        <v>247</v>
      </c>
      <c r="C7" s="479" t="s">
        <v>116</v>
      </c>
      <c r="D7" s="479"/>
      <c r="E7" s="207"/>
      <c r="F7" s="199"/>
      <c r="G7" s="53"/>
      <c r="H7" s="52"/>
    </row>
    <row r="8" spans="2:8" ht="15.75" x14ac:dyDescent="0.25">
      <c r="B8" s="87" t="s">
        <v>233</v>
      </c>
      <c r="C8" s="199" t="s">
        <v>173</v>
      </c>
      <c r="D8" s="197">
        <v>285</v>
      </c>
      <c r="E8" s="195">
        <v>11869</v>
      </c>
      <c r="F8" s="197">
        <v>44</v>
      </c>
      <c r="G8" s="195">
        <f>D8+E8+F8</f>
        <v>12198</v>
      </c>
      <c r="H8" s="187">
        <f>G8/G$13*100</f>
        <v>58.019406392694059</v>
      </c>
    </row>
    <row r="9" spans="2:8" ht="15.75" x14ac:dyDescent="0.25">
      <c r="B9" s="87" t="s">
        <v>234</v>
      </c>
      <c r="C9" s="199" t="s">
        <v>174</v>
      </c>
      <c r="D9" s="197">
        <v>181</v>
      </c>
      <c r="E9" s="195">
        <v>3382</v>
      </c>
      <c r="F9" s="197">
        <v>9</v>
      </c>
      <c r="G9" s="195">
        <f>D9+E9+F9</f>
        <v>3572</v>
      </c>
      <c r="H9" s="187">
        <f t="shared" ref="H9:H12" si="0">G9/G$13*100</f>
        <v>16.990106544901064</v>
      </c>
    </row>
    <row r="10" spans="2:8" ht="15.75" x14ac:dyDescent="0.25">
      <c r="B10" s="87" t="s">
        <v>235</v>
      </c>
      <c r="C10" s="199" t="s">
        <v>175</v>
      </c>
      <c r="D10" s="197">
        <v>50</v>
      </c>
      <c r="E10" s="195">
        <v>1758</v>
      </c>
      <c r="F10" s="197">
        <v>7</v>
      </c>
      <c r="G10" s="195">
        <f>D10+E10+F10</f>
        <v>1815</v>
      </c>
      <c r="H10" s="187">
        <f t="shared" si="0"/>
        <v>8.6329908675799079</v>
      </c>
    </row>
    <row r="11" spans="2:8" ht="15.75" x14ac:dyDescent="0.25">
      <c r="B11" s="87" t="s">
        <v>236</v>
      </c>
      <c r="C11" s="199" t="s">
        <v>176</v>
      </c>
      <c r="D11" s="197">
        <v>83</v>
      </c>
      <c r="E11" s="195">
        <v>3295</v>
      </c>
      <c r="F11" s="197">
        <v>5</v>
      </c>
      <c r="G11" s="195">
        <f>D11+E11+F11</f>
        <v>3383</v>
      </c>
      <c r="H11" s="187">
        <f t="shared" si="0"/>
        <v>16.091133942161338</v>
      </c>
    </row>
    <row r="12" spans="2:8" ht="15.75" x14ac:dyDescent="0.25">
      <c r="B12" s="87" t="s">
        <v>237</v>
      </c>
      <c r="C12" s="199" t="s">
        <v>46</v>
      </c>
      <c r="D12" s="197">
        <v>2</v>
      </c>
      <c r="E12" s="197">
        <v>53</v>
      </c>
      <c r="F12" s="197">
        <v>1</v>
      </c>
      <c r="G12" s="195">
        <f>D12+E12+F12</f>
        <v>56</v>
      </c>
      <c r="H12" s="187">
        <f t="shared" si="0"/>
        <v>0.26636225266362251</v>
      </c>
    </row>
    <row r="13" spans="2:8" ht="15.75" x14ac:dyDescent="0.25">
      <c r="B13" s="448" t="s">
        <v>373</v>
      </c>
      <c r="C13" s="448"/>
      <c r="D13" s="204">
        <f>SUM(D8:D12)</f>
        <v>601</v>
      </c>
      <c r="E13" s="204">
        <f>SUM(E8:E12)</f>
        <v>20357</v>
      </c>
      <c r="F13" s="204">
        <f>SUM(F8:F12)</f>
        <v>66</v>
      </c>
      <c r="G13" s="204">
        <f>SUM(G8:G12)</f>
        <v>21024</v>
      </c>
      <c r="H13" s="190">
        <f>SUM(H8:H12)</f>
        <v>99.999999999999986</v>
      </c>
    </row>
    <row r="14" spans="2:8" ht="15.75" x14ac:dyDescent="0.25">
      <c r="B14" s="209" t="s">
        <v>248</v>
      </c>
      <c r="C14" s="479" t="s">
        <v>581</v>
      </c>
      <c r="D14" s="479"/>
      <c r="E14" s="208"/>
      <c r="F14" s="208"/>
      <c r="G14" s="195"/>
      <c r="H14" s="210"/>
    </row>
    <row r="15" spans="2:8" ht="15.75" x14ac:dyDescent="0.25">
      <c r="B15" s="87" t="s">
        <v>233</v>
      </c>
      <c r="C15" s="199" t="s">
        <v>173</v>
      </c>
      <c r="D15" s="195">
        <v>372</v>
      </c>
      <c r="E15" s="195">
        <v>17220</v>
      </c>
      <c r="F15" s="197">
        <v>63</v>
      </c>
      <c r="G15" s="195">
        <f t="shared" ref="G15:G20" si="1">D15+E15+F15</f>
        <v>17655</v>
      </c>
      <c r="H15" s="187">
        <f>G15/G21*100</f>
        <v>2.3682378459297295</v>
      </c>
    </row>
    <row r="16" spans="2:8" ht="15.75" x14ac:dyDescent="0.25">
      <c r="B16" s="87" t="s">
        <v>234</v>
      </c>
      <c r="C16" s="199" t="s">
        <v>174</v>
      </c>
      <c r="D16" s="197">
        <v>187</v>
      </c>
      <c r="E16" s="195">
        <v>4052</v>
      </c>
      <c r="F16" s="197">
        <v>6</v>
      </c>
      <c r="G16" s="195">
        <f t="shared" si="1"/>
        <v>4245</v>
      </c>
      <c r="H16" s="187">
        <f>G16/G21*100</f>
        <v>0.56942337332040227</v>
      </c>
    </row>
    <row r="17" spans="2:8" ht="15.75" x14ac:dyDescent="0.25">
      <c r="B17" s="87" t="s">
        <v>235</v>
      </c>
      <c r="C17" s="199" t="s">
        <v>175</v>
      </c>
      <c r="D17" s="195">
        <v>5297</v>
      </c>
      <c r="E17" s="195">
        <v>196916</v>
      </c>
      <c r="F17" s="197">
        <v>267</v>
      </c>
      <c r="G17" s="195">
        <f t="shared" si="1"/>
        <v>202480</v>
      </c>
      <c r="H17" s="187">
        <f>G17/G21*100</f>
        <v>27.160622998802133</v>
      </c>
    </row>
    <row r="18" spans="2:8" ht="15.75" x14ac:dyDescent="0.25">
      <c r="B18" s="87" t="s">
        <v>236</v>
      </c>
      <c r="C18" s="199" t="s">
        <v>176</v>
      </c>
      <c r="D18" s="197">
        <v>64</v>
      </c>
      <c r="E18" s="195">
        <v>2043</v>
      </c>
      <c r="F18" s="197">
        <v>3</v>
      </c>
      <c r="G18" s="195">
        <f t="shared" si="1"/>
        <v>2110</v>
      </c>
      <c r="H18" s="187">
        <f>G18/G21*100</f>
        <v>0.28303493938893964</v>
      </c>
    </row>
    <row r="19" spans="2:8" ht="15.75" x14ac:dyDescent="0.25">
      <c r="B19" s="87" t="s">
        <v>237</v>
      </c>
      <c r="C19" s="199" t="s">
        <v>177</v>
      </c>
      <c r="D19" s="195">
        <v>2834</v>
      </c>
      <c r="E19" s="195">
        <v>280430</v>
      </c>
      <c r="F19" s="197">
        <v>397</v>
      </c>
      <c r="G19" s="195">
        <f t="shared" si="1"/>
        <v>283661</v>
      </c>
      <c r="H19" s="187">
        <f>G19/G21*100</f>
        <v>38.050224617064458</v>
      </c>
    </row>
    <row r="20" spans="2:8" ht="15.75" x14ac:dyDescent="0.25">
      <c r="B20" s="87" t="s">
        <v>238</v>
      </c>
      <c r="C20" s="199" t="s">
        <v>46</v>
      </c>
      <c r="D20" s="195">
        <v>13324</v>
      </c>
      <c r="E20" s="195">
        <v>221340</v>
      </c>
      <c r="F20" s="195">
        <v>676</v>
      </c>
      <c r="G20" s="195">
        <f t="shared" si="1"/>
        <v>235340</v>
      </c>
      <c r="H20" s="187">
        <f>G20/G21*100</f>
        <v>31.568456225494341</v>
      </c>
    </row>
    <row r="21" spans="2:8" ht="15.75" x14ac:dyDescent="0.25">
      <c r="B21" s="448" t="s">
        <v>374</v>
      </c>
      <c r="C21" s="448"/>
      <c r="D21" s="204">
        <f>SUM(D15:D20)</f>
        <v>22078</v>
      </c>
      <c r="E21" s="204">
        <f>SUM(E15:E20)</f>
        <v>722001</v>
      </c>
      <c r="F21" s="204">
        <f>SUM(F15:F20)</f>
        <v>1412</v>
      </c>
      <c r="G21" s="204">
        <f>SUM(G15:G20)</f>
        <v>745491</v>
      </c>
      <c r="H21" s="190">
        <f>SUM(H15:H20)</f>
        <v>100</v>
      </c>
    </row>
    <row r="22" spans="2:8" ht="15.75" x14ac:dyDescent="0.25">
      <c r="B22" s="448" t="s">
        <v>375</v>
      </c>
      <c r="C22" s="448"/>
      <c r="D22" s="204">
        <f>D13+D21</f>
        <v>22679</v>
      </c>
      <c r="E22" s="204">
        <f>E13+E21</f>
        <v>742358</v>
      </c>
      <c r="F22" s="204">
        <f>F13+F21</f>
        <v>1478</v>
      </c>
      <c r="G22" s="204">
        <f>G13+G21</f>
        <v>766515</v>
      </c>
      <c r="H22" s="170"/>
    </row>
  </sheetData>
  <mergeCells count="6">
    <mergeCell ref="B4:H4"/>
    <mergeCell ref="B21:C21"/>
    <mergeCell ref="B22:C22"/>
    <mergeCell ref="C7:D7"/>
    <mergeCell ref="B13:C13"/>
    <mergeCell ref="C14:D14"/>
  </mergeCells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3:F13"/>
  <sheetViews>
    <sheetView workbookViewId="0">
      <selection activeCell="D13" sqref="D13"/>
    </sheetView>
  </sheetViews>
  <sheetFormatPr defaultRowHeight="15" x14ac:dyDescent="0.25"/>
  <cols>
    <col min="2" max="2" width="6" customWidth="1"/>
    <col min="3" max="3" width="41.85546875" customWidth="1"/>
    <col min="4" max="4" width="14.5703125" customWidth="1"/>
    <col min="5" max="5" width="12.7109375" customWidth="1"/>
    <col min="6" max="6" width="11.5703125" customWidth="1"/>
  </cols>
  <sheetData>
    <row r="3" spans="2:6" ht="16.5" thickBot="1" x14ac:dyDescent="0.3">
      <c r="B3" s="75"/>
      <c r="C3" s="75"/>
      <c r="D3" s="75"/>
      <c r="E3" s="75"/>
      <c r="F3" s="221" t="s">
        <v>271</v>
      </c>
    </row>
    <row r="4" spans="2:6" ht="16.5" thickTop="1" x14ac:dyDescent="0.25">
      <c r="B4" s="454" t="s">
        <v>1355</v>
      </c>
      <c r="C4" s="454"/>
      <c r="D4" s="454"/>
      <c r="E4" s="454"/>
      <c r="F4" s="454"/>
    </row>
    <row r="5" spans="2:6" ht="15.75" x14ac:dyDescent="0.25">
      <c r="B5" s="170" t="s">
        <v>100</v>
      </c>
      <c r="C5" s="170" t="s">
        <v>1060</v>
      </c>
      <c r="D5" s="327" t="s">
        <v>601</v>
      </c>
      <c r="E5" s="327" t="s">
        <v>602</v>
      </c>
      <c r="F5" s="327" t="s">
        <v>1</v>
      </c>
    </row>
    <row r="6" spans="2:6" x14ac:dyDescent="0.25">
      <c r="B6" s="104">
        <v>1</v>
      </c>
      <c r="C6" s="104">
        <v>2</v>
      </c>
      <c r="D6" s="328" t="s">
        <v>742</v>
      </c>
      <c r="E6" s="328" t="s">
        <v>743</v>
      </c>
      <c r="F6" s="328" t="s">
        <v>1061</v>
      </c>
    </row>
    <row r="7" spans="2:6" ht="15.75" x14ac:dyDescent="0.25">
      <c r="B7" s="87" t="s">
        <v>247</v>
      </c>
      <c r="C7" s="310" t="s">
        <v>173</v>
      </c>
      <c r="D7" s="195">
        <f>11957+17631</f>
        <v>29588</v>
      </c>
      <c r="E7" s="195">
        <v>29853</v>
      </c>
      <c r="F7" s="195">
        <f>E7/D7*100</f>
        <v>100.89563336487765</v>
      </c>
    </row>
    <row r="8" spans="2:6" ht="15.75" x14ac:dyDescent="0.25">
      <c r="B8" s="98" t="s">
        <v>248</v>
      </c>
      <c r="C8" s="310" t="s">
        <v>174</v>
      </c>
      <c r="D8" s="195">
        <f>3401+4176</f>
        <v>7577</v>
      </c>
      <c r="E8" s="195">
        <v>7817</v>
      </c>
      <c r="F8" s="195">
        <f t="shared" ref="F8:F13" si="0">E8/D8*100</f>
        <v>103.16748053319256</v>
      </c>
    </row>
    <row r="9" spans="2:6" ht="15.75" x14ac:dyDescent="0.25">
      <c r="B9" s="87" t="s">
        <v>249</v>
      </c>
      <c r="C9" s="310" t="s">
        <v>175</v>
      </c>
      <c r="D9" s="195">
        <f>1752+198055</f>
        <v>199807</v>
      </c>
      <c r="E9" s="195">
        <v>204295</v>
      </c>
      <c r="F9" s="195">
        <f t="shared" si="0"/>
        <v>102.24616755168738</v>
      </c>
    </row>
    <row r="10" spans="2:6" ht="15.75" x14ac:dyDescent="0.25">
      <c r="B10" s="87" t="s">
        <v>250</v>
      </c>
      <c r="C10" s="310" t="s">
        <v>176</v>
      </c>
      <c r="D10" s="195">
        <f>3305+2166</f>
        <v>5471</v>
      </c>
      <c r="E10" s="195">
        <v>5493</v>
      </c>
      <c r="F10" s="195">
        <f t="shared" si="0"/>
        <v>100.40212027051727</v>
      </c>
    </row>
    <row r="11" spans="2:6" ht="15.75" x14ac:dyDescent="0.25">
      <c r="B11" s="87" t="s">
        <v>251</v>
      </c>
      <c r="C11" s="310" t="s">
        <v>177</v>
      </c>
      <c r="D11" s="356">
        <f>280157</f>
        <v>280157</v>
      </c>
      <c r="E11" s="356">
        <v>283661</v>
      </c>
      <c r="F11" s="195">
        <f>E11/D11*100</f>
        <v>101.2507272707803</v>
      </c>
    </row>
    <row r="12" spans="2:6" ht="15.75" x14ac:dyDescent="0.25">
      <c r="B12" s="87" t="s">
        <v>252</v>
      </c>
      <c r="C12" s="310" t="s">
        <v>46</v>
      </c>
      <c r="D12" s="356">
        <f>66+231253</f>
        <v>231319</v>
      </c>
      <c r="E12" s="356">
        <v>235396</v>
      </c>
      <c r="F12" s="195">
        <f t="shared" si="0"/>
        <v>101.76250113479655</v>
      </c>
    </row>
    <row r="13" spans="2:6" ht="15.75" x14ac:dyDescent="0.25">
      <c r="B13" s="480" t="s">
        <v>18</v>
      </c>
      <c r="C13" s="480"/>
      <c r="D13" s="357">
        <f>SUM(D7:D12)</f>
        <v>753919</v>
      </c>
      <c r="E13" s="357">
        <f>SUM(E7:E12)</f>
        <v>766515</v>
      </c>
      <c r="F13" s="204">
        <f t="shared" si="0"/>
        <v>101.67073651148199</v>
      </c>
    </row>
  </sheetData>
  <mergeCells count="2">
    <mergeCell ref="B13:C13"/>
    <mergeCell ref="B4:F4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N15"/>
  <sheetViews>
    <sheetView workbookViewId="0">
      <selection activeCell="N19" sqref="N19"/>
    </sheetView>
  </sheetViews>
  <sheetFormatPr defaultRowHeight="15" x14ac:dyDescent="0.25"/>
  <cols>
    <col min="2" max="2" width="6" customWidth="1"/>
    <col min="3" max="3" width="26" customWidth="1"/>
    <col min="4" max="4" width="14.28515625" customWidth="1"/>
    <col min="5" max="5" width="11.5703125" customWidth="1"/>
    <col min="6" max="6" width="17.5703125" customWidth="1"/>
    <col min="7" max="7" width="13.85546875" customWidth="1"/>
    <col min="8" max="8" width="10.42578125" customWidth="1"/>
    <col min="9" max="9" width="12.85546875" customWidth="1"/>
    <col min="10" max="10" width="9.7109375" customWidth="1"/>
    <col min="11" max="11" width="15" customWidth="1"/>
    <col min="12" max="12" width="17.140625" customWidth="1"/>
    <col min="13" max="13" width="16.42578125" customWidth="1"/>
    <col min="14" max="14" width="12.7109375" customWidth="1"/>
  </cols>
  <sheetData>
    <row r="3" spans="2:14" ht="16.5" thickBot="1" x14ac:dyDescent="0.3">
      <c r="N3" s="206" t="s">
        <v>271</v>
      </c>
    </row>
    <row r="4" spans="2:14" ht="16.5" customHeight="1" thickTop="1" x14ac:dyDescent="0.25">
      <c r="B4" s="481" t="s">
        <v>1356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2:14" ht="15.75" customHeight="1" x14ac:dyDescent="0.25">
      <c r="B5" s="443" t="s">
        <v>100</v>
      </c>
      <c r="C5" s="443" t="s">
        <v>179</v>
      </c>
      <c r="D5" s="443" t="s">
        <v>180</v>
      </c>
      <c r="E5" s="443" t="s">
        <v>316</v>
      </c>
      <c r="F5" s="443" t="s">
        <v>181</v>
      </c>
      <c r="G5" s="443" t="s">
        <v>182</v>
      </c>
      <c r="H5" s="443"/>
      <c r="I5" s="443" t="s">
        <v>314</v>
      </c>
      <c r="J5" s="443" t="s">
        <v>183</v>
      </c>
      <c r="K5" s="443"/>
      <c r="L5" s="443"/>
      <c r="M5" s="443"/>
      <c r="N5" s="443" t="s">
        <v>184</v>
      </c>
    </row>
    <row r="6" spans="2:14" ht="15" customHeight="1" x14ac:dyDescent="0.25">
      <c r="B6" s="443"/>
      <c r="C6" s="443"/>
      <c r="D6" s="443"/>
      <c r="E6" s="443"/>
      <c r="F6" s="443"/>
      <c r="G6" s="443" t="s">
        <v>185</v>
      </c>
      <c r="H6" s="443" t="s">
        <v>186</v>
      </c>
      <c r="I6" s="443"/>
      <c r="J6" s="443" t="s">
        <v>187</v>
      </c>
      <c r="K6" s="443" t="s">
        <v>188</v>
      </c>
      <c r="L6" s="443" t="s">
        <v>189</v>
      </c>
      <c r="M6" s="443" t="s">
        <v>315</v>
      </c>
      <c r="N6" s="443"/>
    </row>
    <row r="7" spans="2:14" ht="15" customHeight="1" x14ac:dyDescent="0.25"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</row>
    <row r="8" spans="2:14" x14ac:dyDescent="0.25">
      <c r="B8" s="104">
        <v>1</v>
      </c>
      <c r="C8" s="104">
        <v>2</v>
      </c>
      <c r="D8" s="104">
        <v>3</v>
      </c>
      <c r="E8" s="104">
        <v>4</v>
      </c>
      <c r="F8" s="48">
        <v>5</v>
      </c>
      <c r="G8" s="104">
        <v>6</v>
      </c>
      <c r="H8" s="104">
        <v>7</v>
      </c>
      <c r="I8" s="104">
        <v>8</v>
      </c>
      <c r="J8" s="104" t="s">
        <v>389</v>
      </c>
      <c r="K8" s="104" t="s">
        <v>390</v>
      </c>
      <c r="L8" s="104" t="s">
        <v>391</v>
      </c>
      <c r="M8" s="104">
        <v>12</v>
      </c>
      <c r="N8" s="104" t="s">
        <v>392</v>
      </c>
    </row>
    <row r="9" spans="2:14" ht="15.75" x14ac:dyDescent="0.25">
      <c r="B9" s="87" t="s">
        <v>247</v>
      </c>
      <c r="C9" s="87">
        <v>0</v>
      </c>
      <c r="D9" s="211">
        <v>0</v>
      </c>
      <c r="E9" s="195">
        <v>749683</v>
      </c>
      <c r="F9" s="60">
        <f>E9/E15*100</f>
        <v>97.804087330319689</v>
      </c>
      <c r="G9" s="211">
        <v>0</v>
      </c>
      <c r="H9" s="197">
        <v>19</v>
      </c>
      <c r="I9" s="197">
        <v>524</v>
      </c>
      <c r="J9" s="195">
        <f>E9*D9</f>
        <v>0</v>
      </c>
      <c r="K9" s="197">
        <f>H9*G9</f>
        <v>0</v>
      </c>
      <c r="L9" s="295">
        <f>I9*D9</f>
        <v>0</v>
      </c>
      <c r="M9" s="54">
        <v>0</v>
      </c>
      <c r="N9" s="195">
        <f t="shared" ref="N9:N14" si="0">J9+K9+L9+M9</f>
        <v>0</v>
      </c>
    </row>
    <row r="10" spans="2:14" ht="15.75" x14ac:dyDescent="0.25">
      <c r="B10" s="87" t="s">
        <v>248</v>
      </c>
      <c r="C10" s="87" t="s">
        <v>190</v>
      </c>
      <c r="D10" s="211">
        <v>0.02</v>
      </c>
      <c r="E10" s="195">
        <v>4386</v>
      </c>
      <c r="F10" s="60">
        <f>E10/E15*100</f>
        <v>0.57220015263889157</v>
      </c>
      <c r="G10" s="211">
        <v>0.02</v>
      </c>
      <c r="H10" s="197">
        <v>54</v>
      </c>
      <c r="I10" s="197">
        <v>0</v>
      </c>
      <c r="J10" s="195">
        <f>E10*D10</f>
        <v>87.72</v>
      </c>
      <c r="K10" s="195">
        <f>H10*G10</f>
        <v>1.08</v>
      </c>
      <c r="L10" s="295">
        <f>I10*D10</f>
        <v>0</v>
      </c>
      <c r="M10" s="54">
        <v>0</v>
      </c>
      <c r="N10" s="195">
        <f>J10+K10+L10+M10</f>
        <v>88.8</v>
      </c>
    </row>
    <row r="11" spans="2:14" ht="15.75" x14ac:dyDescent="0.25">
      <c r="B11" s="87" t="s">
        <v>249</v>
      </c>
      <c r="C11" s="87" t="s">
        <v>191</v>
      </c>
      <c r="D11" s="211">
        <v>0.15</v>
      </c>
      <c r="E11" s="195">
        <v>4683</v>
      </c>
      <c r="F11" s="60">
        <f>E11/E15*100</f>
        <v>0.61094694820062234</v>
      </c>
      <c r="G11" s="211">
        <v>1</v>
      </c>
      <c r="H11" s="197">
        <v>60</v>
      </c>
      <c r="I11" s="197">
        <v>2</v>
      </c>
      <c r="J11" s="195">
        <f t="shared" ref="J11:J14" si="1">E11*D11</f>
        <v>702.44999999999993</v>
      </c>
      <c r="K11" s="197">
        <f t="shared" ref="K11:K14" si="2">H11*G11</f>
        <v>60</v>
      </c>
      <c r="L11" s="295">
        <f>I11*D11</f>
        <v>0.3</v>
      </c>
      <c r="M11" s="54">
        <v>31</v>
      </c>
      <c r="N11" s="195">
        <f>J11+K11+L11+M11</f>
        <v>793.74999999999989</v>
      </c>
    </row>
    <row r="12" spans="2:14" ht="15.75" x14ac:dyDescent="0.25">
      <c r="B12" s="87" t="s">
        <v>250</v>
      </c>
      <c r="C12" s="87" t="s">
        <v>192</v>
      </c>
      <c r="D12" s="211">
        <v>0.5</v>
      </c>
      <c r="E12" s="195">
        <v>2673</v>
      </c>
      <c r="F12" s="60">
        <f>E12/E15*100</f>
        <v>0.34872116005557624</v>
      </c>
      <c r="G12" s="211">
        <v>1</v>
      </c>
      <c r="H12" s="197">
        <v>66</v>
      </c>
      <c r="I12" s="197">
        <v>1</v>
      </c>
      <c r="J12" s="195">
        <f>E12*D12</f>
        <v>1336.5</v>
      </c>
      <c r="K12" s="197">
        <f t="shared" si="2"/>
        <v>66</v>
      </c>
      <c r="L12" s="295">
        <f>I12*D12</f>
        <v>0.5</v>
      </c>
      <c r="M12" s="54">
        <v>0</v>
      </c>
      <c r="N12" s="195">
        <f>J12+K12+L12+M12</f>
        <v>1403</v>
      </c>
    </row>
    <row r="13" spans="2:14" ht="15.75" x14ac:dyDescent="0.25">
      <c r="B13" s="87" t="s">
        <v>251</v>
      </c>
      <c r="C13" s="87" t="s">
        <v>193</v>
      </c>
      <c r="D13" s="211">
        <v>0.8</v>
      </c>
      <c r="E13" s="195">
        <v>1921</v>
      </c>
      <c r="F13" s="60">
        <f>E13/E15*100</f>
        <v>0.25061479553563859</v>
      </c>
      <c r="G13" s="211">
        <v>1</v>
      </c>
      <c r="H13" s="197">
        <v>75</v>
      </c>
      <c r="I13" s="197">
        <v>1</v>
      </c>
      <c r="J13" s="195">
        <f>E13*D13</f>
        <v>1536.8000000000002</v>
      </c>
      <c r="K13" s="197">
        <f t="shared" si="2"/>
        <v>75</v>
      </c>
      <c r="L13" s="295">
        <f t="shared" ref="L13" si="3">I13*D13</f>
        <v>0.8</v>
      </c>
      <c r="M13" s="54">
        <v>0</v>
      </c>
      <c r="N13" s="195">
        <f>J13+K13+L13+M13</f>
        <v>1612.6000000000001</v>
      </c>
    </row>
    <row r="14" spans="2:14" ht="15.75" x14ac:dyDescent="0.25">
      <c r="B14" s="87" t="s">
        <v>252</v>
      </c>
      <c r="C14" s="87" t="s">
        <v>194</v>
      </c>
      <c r="D14" s="211">
        <v>1</v>
      </c>
      <c r="E14" s="195">
        <v>3169</v>
      </c>
      <c r="F14" s="60">
        <f>E14/E15*100</f>
        <v>0.41342961324957767</v>
      </c>
      <c r="G14" s="211">
        <v>1</v>
      </c>
      <c r="H14" s="197">
        <v>209</v>
      </c>
      <c r="I14" s="197">
        <v>1</v>
      </c>
      <c r="J14" s="195">
        <f t="shared" si="1"/>
        <v>3169</v>
      </c>
      <c r="K14" s="197">
        <f t="shared" si="2"/>
        <v>209</v>
      </c>
      <c r="L14" s="295">
        <f>I14*D14</f>
        <v>1</v>
      </c>
      <c r="M14" s="54">
        <v>57</v>
      </c>
      <c r="N14" s="195">
        <f t="shared" si="0"/>
        <v>3436</v>
      </c>
    </row>
    <row r="15" spans="2:14" ht="15.75" x14ac:dyDescent="0.25">
      <c r="B15" s="448" t="s">
        <v>195</v>
      </c>
      <c r="C15" s="448"/>
      <c r="D15" s="448"/>
      <c r="E15" s="204">
        <f>SUM(E9:E14)</f>
        <v>766515</v>
      </c>
      <c r="F15" s="185">
        <f>SUM(F9:F14)</f>
        <v>99.999999999999986</v>
      </c>
      <c r="G15" s="212"/>
      <c r="H15" s="213">
        <f t="shared" ref="H15:M15" si="4">SUM(H9:H14)</f>
        <v>483</v>
      </c>
      <c r="I15" s="213">
        <f t="shared" si="4"/>
        <v>529</v>
      </c>
      <c r="J15" s="204">
        <f>SUM(J9:J14)</f>
        <v>6832.47</v>
      </c>
      <c r="K15" s="214">
        <f>SUM(K9:K14)</f>
        <v>411.08</v>
      </c>
      <c r="L15" s="214">
        <f t="shared" si="4"/>
        <v>2.6</v>
      </c>
      <c r="M15" s="213">
        <f t="shared" si="4"/>
        <v>88</v>
      </c>
      <c r="N15" s="157">
        <f>J15+K15+L15+M15</f>
        <v>7334.1500000000005</v>
      </c>
    </row>
  </sheetData>
  <mergeCells count="17"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M6:M7"/>
    <mergeCell ref="L6:L7"/>
    <mergeCell ref="B15:D15"/>
    <mergeCell ref="G6:G7"/>
    <mergeCell ref="H6:H7"/>
    <mergeCell ref="J6:J7"/>
    <mergeCell ref="K6:K7"/>
  </mergeCells>
  <pageMargins left="0.7" right="0.7" top="0.75" bottom="0.75" header="0.3" footer="0.3"/>
  <pageSetup orientation="portrait" r:id="rId1"/>
  <ignoredErrors>
    <ignoredError sqref="E15 H15:I15 M15" formulaRange="1"/>
  </ignoredErrors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AD4D-E170-4679-84C0-A2842ED11205}">
  <dimension ref="B3:F19"/>
  <sheetViews>
    <sheetView workbookViewId="0">
      <selection activeCell="J14" sqref="J14"/>
    </sheetView>
  </sheetViews>
  <sheetFormatPr defaultRowHeight="15" x14ac:dyDescent="0.25"/>
  <cols>
    <col min="2" max="2" width="6.7109375" customWidth="1"/>
    <col min="3" max="3" width="59.42578125" customWidth="1"/>
    <col min="4" max="4" width="16.7109375" customWidth="1"/>
    <col min="5" max="5" width="13.140625" customWidth="1"/>
    <col min="6" max="6" width="15.5703125" customWidth="1"/>
  </cols>
  <sheetData>
    <row r="3" spans="2:6" ht="16.5" thickBot="1" x14ac:dyDescent="0.3">
      <c r="B3" s="123"/>
      <c r="C3" s="77"/>
      <c r="D3" s="77"/>
      <c r="E3" s="77"/>
      <c r="F3" s="77"/>
    </row>
    <row r="4" spans="2:6" ht="16.5" customHeight="1" thickTop="1" x14ac:dyDescent="0.25">
      <c r="B4" s="483" t="s">
        <v>1357</v>
      </c>
      <c r="C4" s="483"/>
      <c r="D4" s="483"/>
      <c r="E4" s="483"/>
      <c r="F4" s="483"/>
    </row>
    <row r="5" spans="2:6" ht="31.5" x14ac:dyDescent="0.25">
      <c r="B5" s="170" t="s">
        <v>100</v>
      </c>
      <c r="C5" s="50" t="s">
        <v>56</v>
      </c>
      <c r="D5" s="50" t="s">
        <v>1062</v>
      </c>
      <c r="E5" s="50" t="s">
        <v>601</v>
      </c>
      <c r="F5" s="50" t="s">
        <v>602</v>
      </c>
    </row>
    <row r="6" spans="2:6" ht="15" customHeight="1" x14ac:dyDescent="0.25">
      <c r="B6" s="104">
        <v>1</v>
      </c>
      <c r="C6" s="48">
        <v>2</v>
      </c>
      <c r="D6" s="48">
        <v>3</v>
      </c>
      <c r="E6" s="48">
        <v>4</v>
      </c>
      <c r="F6" s="48">
        <v>5</v>
      </c>
    </row>
    <row r="7" spans="2:6" ht="15.75" x14ac:dyDescent="0.25">
      <c r="B7" s="87" t="s">
        <v>247</v>
      </c>
      <c r="C7" s="83" t="s">
        <v>1063</v>
      </c>
      <c r="D7" s="358" t="s">
        <v>911</v>
      </c>
      <c r="E7" s="359">
        <v>164971</v>
      </c>
      <c r="F7" s="359">
        <v>163047</v>
      </c>
    </row>
    <row r="8" spans="2:6" ht="15.75" x14ac:dyDescent="0.25">
      <c r="B8" s="87" t="s">
        <v>248</v>
      </c>
      <c r="C8" s="83" t="s">
        <v>1064</v>
      </c>
      <c r="D8" s="218" t="s">
        <v>911</v>
      </c>
      <c r="E8" s="359">
        <v>33194</v>
      </c>
      <c r="F8" s="359">
        <v>33109</v>
      </c>
    </row>
    <row r="9" spans="2:6" ht="31.5" x14ac:dyDescent="0.25">
      <c r="B9" s="87" t="s">
        <v>249</v>
      </c>
      <c r="C9" s="83" t="s">
        <v>1065</v>
      </c>
      <c r="D9" s="218" t="s">
        <v>1066</v>
      </c>
      <c r="E9" s="360">
        <v>4.1700000000000001E-2</v>
      </c>
      <c r="F9" s="360">
        <v>4.0599999999999997E-2</v>
      </c>
    </row>
    <row r="10" spans="2:6" ht="31.5" x14ac:dyDescent="0.25">
      <c r="B10" s="87" t="s">
        <v>250</v>
      </c>
      <c r="C10" s="83" t="s">
        <v>1067</v>
      </c>
      <c r="D10" s="218" t="s">
        <v>1068</v>
      </c>
      <c r="E10" s="360">
        <v>0.41880000000000001</v>
      </c>
      <c r="F10" s="360">
        <v>0.42549999999999999</v>
      </c>
    </row>
    <row r="11" spans="2:6" ht="15.75" x14ac:dyDescent="0.25">
      <c r="B11" s="87" t="s">
        <v>251</v>
      </c>
      <c r="C11" s="188" t="s">
        <v>1069</v>
      </c>
      <c r="D11" s="212" t="s">
        <v>1070</v>
      </c>
      <c r="E11" s="360">
        <v>8.5000000000000006E-3</v>
      </c>
      <c r="F11" s="360">
        <v>1.01E-2</v>
      </c>
    </row>
    <row r="12" spans="2:6" ht="15.75" x14ac:dyDescent="0.25">
      <c r="B12" s="87" t="s">
        <v>252</v>
      </c>
      <c r="C12" s="83" t="s">
        <v>1071</v>
      </c>
      <c r="D12" s="218" t="s">
        <v>1072</v>
      </c>
      <c r="E12" s="360">
        <v>1.03E-2</v>
      </c>
      <c r="F12" s="360">
        <v>1.1599999999999999E-2</v>
      </c>
    </row>
    <row r="13" spans="2:6" ht="15.75" x14ac:dyDescent="0.25">
      <c r="B13" s="87" t="s">
        <v>253</v>
      </c>
      <c r="C13" s="83" t="s">
        <v>1073</v>
      </c>
      <c r="D13" s="358" t="s">
        <v>911</v>
      </c>
      <c r="E13" s="360">
        <v>8.0000000000000002E-3</v>
      </c>
      <c r="F13" s="360">
        <v>8.8999999999999999E-3</v>
      </c>
    </row>
    <row r="14" spans="2:6" ht="15.75" x14ac:dyDescent="0.25">
      <c r="B14" s="87" t="s">
        <v>254</v>
      </c>
      <c r="C14" s="83" t="s">
        <v>1074</v>
      </c>
      <c r="D14" s="218" t="s">
        <v>1075</v>
      </c>
      <c r="E14" s="360">
        <v>0.17730000000000001</v>
      </c>
      <c r="F14" s="360">
        <v>0.17519999999999999</v>
      </c>
    </row>
    <row r="15" spans="2:6" ht="15.75" x14ac:dyDescent="0.25">
      <c r="B15" s="87" t="s">
        <v>255</v>
      </c>
      <c r="C15" s="83" t="s">
        <v>1076</v>
      </c>
      <c r="D15" s="218" t="s">
        <v>1077</v>
      </c>
      <c r="E15" s="360">
        <v>4.3E-3</v>
      </c>
      <c r="F15" s="360">
        <v>2.6599999999999999E-2</v>
      </c>
    </row>
    <row r="16" spans="2:6" ht="15.75" x14ac:dyDescent="0.25">
      <c r="B16" s="87" t="s">
        <v>256</v>
      </c>
      <c r="C16" s="83" t="s">
        <v>1078</v>
      </c>
      <c r="D16" s="218" t="s">
        <v>911</v>
      </c>
      <c r="E16" s="360">
        <v>1.1681999999999999</v>
      </c>
      <c r="F16" s="360">
        <v>1.1859999999999999</v>
      </c>
    </row>
    <row r="17" spans="2:6" ht="30" customHeight="1" x14ac:dyDescent="0.25">
      <c r="B17" s="482" t="s">
        <v>1079</v>
      </c>
      <c r="C17" s="482"/>
      <c r="D17" s="482"/>
      <c r="E17" s="482"/>
      <c r="F17" s="482"/>
    </row>
    <row r="18" spans="2:6" ht="15" customHeight="1" x14ac:dyDescent="0.25">
      <c r="B18" s="482" t="s">
        <v>1080</v>
      </c>
      <c r="C18" s="482"/>
      <c r="D18" s="482"/>
      <c r="E18" s="482"/>
      <c r="F18" s="482"/>
    </row>
    <row r="19" spans="2:6" x14ac:dyDescent="0.25">
      <c r="B19" s="361" t="s">
        <v>1081</v>
      </c>
      <c r="C19" s="361"/>
      <c r="D19" s="361"/>
      <c r="E19" s="361"/>
      <c r="F19" s="361"/>
    </row>
  </sheetData>
  <mergeCells count="3">
    <mergeCell ref="B17:F17"/>
    <mergeCell ref="B18:F18"/>
    <mergeCell ref="B4:F4"/>
  </mergeCell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G26"/>
  <sheetViews>
    <sheetView workbookViewId="0"/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7" ht="16.5" thickBot="1" x14ac:dyDescent="0.3">
      <c r="B3" s="123"/>
      <c r="C3" s="77"/>
      <c r="D3" s="77"/>
      <c r="E3" s="77"/>
      <c r="F3" s="77"/>
      <c r="G3" s="78" t="s">
        <v>271</v>
      </c>
    </row>
    <row r="4" spans="2:7" ht="16.5" thickTop="1" x14ac:dyDescent="0.25">
      <c r="B4" s="484" t="s">
        <v>1388</v>
      </c>
      <c r="C4" s="484"/>
      <c r="D4" s="484"/>
      <c r="E4" s="484"/>
      <c r="F4" s="484"/>
      <c r="G4" s="484"/>
    </row>
    <row r="5" spans="2:7" ht="15.75" x14ac:dyDescent="0.25">
      <c r="B5" s="448" t="s">
        <v>100</v>
      </c>
      <c r="C5" s="448" t="s">
        <v>1082</v>
      </c>
      <c r="D5" s="443" t="s">
        <v>609</v>
      </c>
      <c r="E5" s="443"/>
      <c r="F5" s="443"/>
      <c r="G5" s="443"/>
    </row>
    <row r="6" spans="2:7" ht="47.25" x14ac:dyDescent="0.25">
      <c r="B6" s="448"/>
      <c r="C6" s="448"/>
      <c r="D6" s="50" t="s">
        <v>1083</v>
      </c>
      <c r="E6" s="50" t="s">
        <v>1084</v>
      </c>
      <c r="F6" s="50" t="s">
        <v>1085</v>
      </c>
      <c r="G6" s="50" t="s">
        <v>1086</v>
      </c>
    </row>
    <row r="7" spans="2:7" x14ac:dyDescent="0.25">
      <c r="B7" s="362">
        <v>1</v>
      </c>
      <c r="C7" s="362">
        <v>2</v>
      </c>
      <c r="D7" s="362">
        <v>3</v>
      </c>
      <c r="E7" s="314">
        <v>4</v>
      </c>
      <c r="F7" s="314">
        <v>5</v>
      </c>
      <c r="G7" s="314">
        <v>6</v>
      </c>
    </row>
    <row r="8" spans="2:7" ht="15.75" x14ac:dyDescent="0.25">
      <c r="B8" s="170" t="s">
        <v>247</v>
      </c>
      <c r="C8" s="354" t="s">
        <v>1087</v>
      </c>
      <c r="D8" s="56">
        <f>SUM(D9:D15)</f>
        <v>6849</v>
      </c>
      <c r="E8" s="204">
        <f>SUM(E9:E15)</f>
        <v>11232</v>
      </c>
      <c r="F8" s="363">
        <v>20.72</v>
      </c>
      <c r="G8" s="364">
        <v>28.59</v>
      </c>
    </row>
    <row r="9" spans="2:7" ht="15.75" x14ac:dyDescent="0.25">
      <c r="B9" s="98" t="s">
        <v>58</v>
      </c>
      <c r="C9" s="83" t="s">
        <v>1088</v>
      </c>
      <c r="D9" s="195">
        <v>48</v>
      </c>
      <c r="E9" s="55">
        <v>302</v>
      </c>
      <c r="F9" s="365">
        <v>15.39</v>
      </c>
      <c r="G9" s="353">
        <v>20.329999999999998</v>
      </c>
    </row>
    <row r="10" spans="2:7" ht="15.75" x14ac:dyDescent="0.25">
      <c r="B10" s="98" t="s">
        <v>88</v>
      </c>
      <c r="C10" s="83" t="s">
        <v>1089</v>
      </c>
      <c r="D10" s="197">
        <v>21</v>
      </c>
      <c r="E10" s="55">
        <v>201</v>
      </c>
      <c r="F10" s="365">
        <v>15.4</v>
      </c>
      <c r="G10" s="353">
        <v>19.239999999999998</v>
      </c>
    </row>
    <row r="11" spans="2:7" ht="15.75" x14ac:dyDescent="0.25">
      <c r="B11" s="98" t="s">
        <v>274</v>
      </c>
      <c r="C11" s="83" t="s">
        <v>1090</v>
      </c>
      <c r="D11" s="195">
        <v>1653</v>
      </c>
      <c r="E11" s="55">
        <v>2758</v>
      </c>
      <c r="F11" s="365">
        <v>21.55</v>
      </c>
      <c r="G11" s="353">
        <v>27.68</v>
      </c>
    </row>
    <row r="12" spans="2:7" ht="15.75" x14ac:dyDescent="0.25">
      <c r="B12" s="98" t="s">
        <v>275</v>
      </c>
      <c r="C12" s="83" t="s">
        <v>1091</v>
      </c>
      <c r="D12" s="197">
        <v>5</v>
      </c>
      <c r="E12" s="54">
        <v>40</v>
      </c>
      <c r="F12" s="365">
        <v>15.04</v>
      </c>
      <c r="G12" s="353">
        <v>19.600000000000001</v>
      </c>
    </row>
    <row r="13" spans="2:7" ht="15.75" x14ac:dyDescent="0.25">
      <c r="B13" s="98" t="s">
        <v>276</v>
      </c>
      <c r="C13" s="83" t="s">
        <v>1092</v>
      </c>
      <c r="D13" s="195">
        <v>434</v>
      </c>
      <c r="E13" s="55">
        <v>1104</v>
      </c>
      <c r="F13" s="365">
        <v>20.96</v>
      </c>
      <c r="G13" s="353">
        <v>28.09</v>
      </c>
    </row>
    <row r="14" spans="2:7" ht="15.75" x14ac:dyDescent="0.25">
      <c r="B14" s="98" t="s">
        <v>399</v>
      </c>
      <c r="C14" s="83" t="s">
        <v>1093</v>
      </c>
      <c r="D14" s="195">
        <v>3049</v>
      </c>
      <c r="E14" s="55">
        <v>4565</v>
      </c>
      <c r="F14" s="365">
        <v>21.81</v>
      </c>
      <c r="G14" s="353">
        <v>30.63</v>
      </c>
    </row>
    <row r="15" spans="2:7" ht="15.75" x14ac:dyDescent="0.25">
      <c r="B15" s="98" t="s">
        <v>861</v>
      </c>
      <c r="C15" s="83" t="s">
        <v>1094</v>
      </c>
      <c r="D15" s="195">
        <v>1639</v>
      </c>
      <c r="E15" s="55">
        <v>2262</v>
      </c>
      <c r="F15" s="365">
        <v>18.68</v>
      </c>
      <c r="G15" s="353">
        <v>27.89</v>
      </c>
    </row>
    <row r="16" spans="2:7" ht="15.75" x14ac:dyDescent="0.25">
      <c r="B16" s="170" t="s">
        <v>248</v>
      </c>
      <c r="C16" s="354" t="s">
        <v>1095</v>
      </c>
      <c r="D16" s="56">
        <f>SUM(D17:D23)</f>
        <v>24521</v>
      </c>
      <c r="E16" s="204">
        <f>SUM(E17:E23)</f>
        <v>156136</v>
      </c>
      <c r="F16" s="363">
        <v>19.14</v>
      </c>
      <c r="G16" s="364">
        <v>22.48</v>
      </c>
    </row>
    <row r="17" spans="2:7" ht="15.75" x14ac:dyDescent="0.25">
      <c r="B17" s="98" t="s">
        <v>277</v>
      </c>
      <c r="C17" s="83" t="s">
        <v>1088</v>
      </c>
      <c r="D17" s="195">
        <v>416</v>
      </c>
      <c r="E17" s="55">
        <v>5071</v>
      </c>
      <c r="F17" s="365">
        <v>13.73</v>
      </c>
      <c r="G17" s="353">
        <v>15.94</v>
      </c>
    </row>
    <row r="18" spans="2:7" ht="15.75" x14ac:dyDescent="0.25">
      <c r="B18" s="98" t="s">
        <v>278</v>
      </c>
      <c r="C18" s="83" t="s">
        <v>1089</v>
      </c>
      <c r="D18" s="195">
        <v>110</v>
      </c>
      <c r="E18" s="55">
        <v>1463</v>
      </c>
      <c r="F18" s="365">
        <v>13.83</v>
      </c>
      <c r="G18" s="353">
        <v>15.92</v>
      </c>
    </row>
    <row r="19" spans="2:7" ht="15.75" x14ac:dyDescent="0.25">
      <c r="B19" s="98" t="s">
        <v>279</v>
      </c>
      <c r="C19" s="83" t="s">
        <v>1090</v>
      </c>
      <c r="D19" s="195">
        <v>6668</v>
      </c>
      <c r="E19" s="55">
        <v>41893</v>
      </c>
      <c r="F19" s="365">
        <v>18.48</v>
      </c>
      <c r="G19" s="353">
        <v>21.03</v>
      </c>
    </row>
    <row r="20" spans="2:7" ht="15.75" x14ac:dyDescent="0.25">
      <c r="B20" s="98" t="s">
        <v>280</v>
      </c>
      <c r="C20" s="83" t="s">
        <v>1091</v>
      </c>
      <c r="D20" s="195">
        <v>70</v>
      </c>
      <c r="E20" s="55">
        <v>1005</v>
      </c>
      <c r="F20" s="365">
        <v>14.5</v>
      </c>
      <c r="G20" s="353">
        <v>16.79</v>
      </c>
    </row>
    <row r="21" spans="2:7" ht="15.75" x14ac:dyDescent="0.25">
      <c r="B21" s="98" t="s">
        <v>410</v>
      </c>
      <c r="C21" s="83" t="s">
        <v>1092</v>
      </c>
      <c r="D21" s="195">
        <v>5939</v>
      </c>
      <c r="E21" s="55">
        <v>51405</v>
      </c>
      <c r="F21" s="365">
        <v>19.36</v>
      </c>
      <c r="G21" s="353">
        <v>22.48</v>
      </c>
    </row>
    <row r="22" spans="2:7" ht="15.75" x14ac:dyDescent="0.25">
      <c r="B22" s="98" t="s">
        <v>1096</v>
      </c>
      <c r="C22" s="83" t="s">
        <v>1093</v>
      </c>
      <c r="D22" s="195">
        <v>6322</v>
      </c>
      <c r="E22" s="55">
        <v>30110</v>
      </c>
      <c r="F22" s="365">
        <v>21.48</v>
      </c>
      <c r="G22" s="353">
        <v>26.02</v>
      </c>
    </row>
    <row r="23" spans="2:7" ht="15.75" x14ac:dyDescent="0.25">
      <c r="B23" s="98" t="s">
        <v>1097</v>
      </c>
      <c r="C23" s="83" t="s">
        <v>1094</v>
      </c>
      <c r="D23" s="195">
        <v>4996</v>
      </c>
      <c r="E23" s="55">
        <v>25189</v>
      </c>
      <c r="F23" s="365">
        <v>18.559999999999999</v>
      </c>
      <c r="G23" s="353">
        <v>22.6</v>
      </c>
    </row>
    <row r="24" spans="2:7" ht="15.75" x14ac:dyDescent="0.25">
      <c r="B24" s="170" t="s">
        <v>249</v>
      </c>
      <c r="C24" s="354" t="s">
        <v>1098</v>
      </c>
      <c r="D24" s="56">
        <f>D8+D16</f>
        <v>31370</v>
      </c>
      <c r="E24" s="204">
        <f>E8+E16</f>
        <v>167368</v>
      </c>
      <c r="F24" s="363">
        <v>19.25</v>
      </c>
      <c r="G24" s="364">
        <v>22.89</v>
      </c>
    </row>
    <row r="25" spans="2:7" x14ac:dyDescent="0.25">
      <c r="B25" s="366" t="s">
        <v>1099</v>
      </c>
    </row>
    <row r="26" spans="2:7" x14ac:dyDescent="0.25">
      <c r="B26" s="366" t="s">
        <v>1100</v>
      </c>
    </row>
  </sheetData>
  <mergeCells count="4">
    <mergeCell ref="B4:G4"/>
    <mergeCell ref="B5:B6"/>
    <mergeCell ref="C5:C6"/>
    <mergeCell ref="D5:G5"/>
  </mergeCells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G12"/>
  <sheetViews>
    <sheetView workbookViewId="0"/>
  </sheetViews>
  <sheetFormatPr defaultRowHeight="15" x14ac:dyDescent="0.25"/>
  <cols>
    <col min="2" max="2" width="27.85546875" customWidth="1"/>
    <col min="3" max="3" width="20.28515625" customWidth="1"/>
    <col min="4" max="4" width="19.7109375" customWidth="1"/>
    <col min="5" max="6" width="19.85546875" customWidth="1"/>
    <col min="7" max="7" width="20.140625" customWidth="1"/>
  </cols>
  <sheetData>
    <row r="2" spans="2:7" ht="15.75" x14ac:dyDescent="0.25">
      <c r="C2" s="2"/>
      <c r="D2" s="2"/>
      <c r="E2" s="2"/>
      <c r="F2" s="2"/>
    </row>
    <row r="3" spans="2:7" ht="16.5" thickBot="1" x14ac:dyDescent="0.3">
      <c r="B3" s="205"/>
      <c r="C3" s="240"/>
      <c r="D3" s="205"/>
      <c r="E3" s="205"/>
      <c r="F3" s="241"/>
      <c r="G3" s="368" t="s">
        <v>1106</v>
      </c>
    </row>
    <row r="4" spans="2:7" ht="16.5" thickTop="1" x14ac:dyDescent="0.25">
      <c r="B4" s="442" t="s">
        <v>1359</v>
      </c>
      <c r="C4" s="442"/>
      <c r="D4" s="442"/>
      <c r="E4" s="442"/>
      <c r="F4" s="442"/>
      <c r="G4" s="442"/>
    </row>
    <row r="5" spans="2:7" ht="15.75" x14ac:dyDescent="0.25">
      <c r="B5" s="84" t="s">
        <v>1101</v>
      </c>
      <c r="C5" s="84" t="s">
        <v>1107</v>
      </c>
      <c r="D5" s="84" t="s">
        <v>1108</v>
      </c>
      <c r="E5" s="84" t="s">
        <v>1109</v>
      </c>
      <c r="F5" s="84" t="s">
        <v>608</v>
      </c>
      <c r="G5" s="84" t="s">
        <v>609</v>
      </c>
    </row>
    <row r="6" spans="2:7" ht="24.95" customHeight="1" x14ac:dyDescent="0.25">
      <c r="B6" s="103" t="s">
        <v>1102</v>
      </c>
      <c r="C6" s="101">
        <v>19.920000000000002</v>
      </c>
      <c r="D6" s="101">
        <v>19.850000000000001</v>
      </c>
      <c r="E6" s="101">
        <v>20.72</v>
      </c>
      <c r="F6" s="101">
        <v>21.04</v>
      </c>
      <c r="G6" s="101">
        <v>20.72</v>
      </c>
    </row>
    <row r="7" spans="2:7" ht="24.95" customHeight="1" x14ac:dyDescent="0.25">
      <c r="B7" s="103" t="s">
        <v>1103</v>
      </c>
      <c r="C7" s="101">
        <v>19.34</v>
      </c>
      <c r="D7" s="101">
        <v>18.579999999999998</v>
      </c>
      <c r="E7" s="101">
        <v>18.86</v>
      </c>
      <c r="F7" s="101">
        <v>19.12</v>
      </c>
      <c r="G7" s="101">
        <v>19.14</v>
      </c>
    </row>
    <row r="8" spans="2:7" ht="24.95" customHeight="1" x14ac:dyDescent="0.25">
      <c r="B8" s="367" t="s">
        <v>1104</v>
      </c>
      <c r="C8" s="84">
        <v>19.43</v>
      </c>
      <c r="D8" s="84">
        <v>18.71</v>
      </c>
      <c r="E8" s="84">
        <v>19.04</v>
      </c>
      <c r="F8" s="84">
        <v>19.27</v>
      </c>
      <c r="G8" s="84">
        <v>19.25</v>
      </c>
    </row>
    <row r="9" spans="2:7" ht="21" customHeight="1" x14ac:dyDescent="0.25">
      <c r="B9" s="119" t="s">
        <v>1105</v>
      </c>
      <c r="C9" s="119"/>
      <c r="D9" s="119"/>
      <c r="E9" s="119"/>
      <c r="F9" s="119"/>
      <c r="G9" s="119"/>
    </row>
    <row r="10" spans="2:7" ht="20.25" customHeight="1" x14ac:dyDescent="0.25">
      <c r="B10" s="103" t="s">
        <v>1102</v>
      </c>
      <c r="C10" s="101">
        <v>32.090000000000003</v>
      </c>
      <c r="D10" s="101">
        <v>28.5</v>
      </c>
      <c r="E10" s="101">
        <v>27.83</v>
      </c>
      <c r="F10" s="101">
        <v>28.18</v>
      </c>
      <c r="G10" s="101">
        <v>28.59</v>
      </c>
    </row>
    <row r="11" spans="2:7" ht="22.5" customHeight="1" x14ac:dyDescent="0.25">
      <c r="B11" s="103" t="s">
        <v>1103</v>
      </c>
      <c r="C11" s="101">
        <v>23.86</v>
      </c>
      <c r="D11" s="101">
        <v>22.23</v>
      </c>
      <c r="E11" s="101">
        <v>22.04</v>
      </c>
      <c r="F11" s="101">
        <v>22.42</v>
      </c>
      <c r="G11" s="101">
        <v>22.48</v>
      </c>
    </row>
    <row r="12" spans="2:7" ht="24.95" customHeight="1" x14ac:dyDescent="0.25">
      <c r="B12" s="171" t="s">
        <v>1104</v>
      </c>
      <c r="C12" s="84">
        <v>25.02</v>
      </c>
      <c r="D12" s="84">
        <v>22.88</v>
      </c>
      <c r="E12" s="84">
        <v>22.58</v>
      </c>
      <c r="F12" s="84">
        <v>22.86</v>
      </c>
      <c r="G12" s="84">
        <v>22.89</v>
      </c>
    </row>
  </sheetData>
  <mergeCells count="1">
    <mergeCell ref="B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612D-9EB4-4786-A475-E532E710F99B}">
  <dimension ref="B3:L8"/>
  <sheetViews>
    <sheetView workbookViewId="0"/>
  </sheetViews>
  <sheetFormatPr defaultRowHeight="15" x14ac:dyDescent="0.25"/>
  <cols>
    <col min="2" max="2" width="8.7109375" customWidth="1"/>
    <col min="3" max="3" width="14.140625" customWidth="1"/>
    <col min="4" max="4" width="12" customWidth="1"/>
    <col min="5" max="5" width="9.85546875" customWidth="1"/>
    <col min="6" max="6" width="10.42578125" customWidth="1"/>
    <col min="7" max="7" width="10.85546875" customWidth="1"/>
    <col min="8" max="8" width="12.140625" customWidth="1"/>
    <col min="9" max="9" width="11.85546875" customWidth="1"/>
    <col min="10" max="10" width="9.42578125" customWidth="1"/>
    <col min="11" max="11" width="10.28515625" customWidth="1"/>
    <col min="12" max="12" width="10.85546875" customWidth="1"/>
  </cols>
  <sheetData>
    <row r="3" spans="2:12" ht="15.75" thickBot="1" x14ac:dyDescent="0.3"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</row>
    <row r="4" spans="2:12" ht="16.5" thickTop="1" x14ac:dyDescent="0.25">
      <c r="B4" s="447" t="s">
        <v>679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2:12" ht="47.25" x14ac:dyDescent="0.25">
      <c r="B5" s="50" t="s">
        <v>100</v>
      </c>
      <c r="C5" s="50" t="s">
        <v>616</v>
      </c>
      <c r="D5" s="50" t="s">
        <v>617</v>
      </c>
      <c r="E5" s="50" t="s">
        <v>619</v>
      </c>
      <c r="F5" s="50" t="s">
        <v>625</v>
      </c>
      <c r="G5" s="50" t="s">
        <v>626</v>
      </c>
      <c r="H5" s="50" t="s">
        <v>620</v>
      </c>
      <c r="I5" s="50" t="s">
        <v>621</v>
      </c>
      <c r="J5" s="50" t="s">
        <v>627</v>
      </c>
      <c r="K5" s="50" t="s">
        <v>623</v>
      </c>
      <c r="L5" s="50" t="s">
        <v>624</v>
      </c>
    </row>
    <row r="6" spans="2:12" x14ac:dyDescent="0.25">
      <c r="B6" s="104">
        <v>1</v>
      </c>
      <c r="C6" s="48">
        <v>2</v>
      </c>
      <c r="D6" s="48">
        <v>3</v>
      </c>
      <c r="E6" s="48">
        <v>4</v>
      </c>
      <c r="F6" s="48">
        <v>5</v>
      </c>
      <c r="G6" s="48">
        <v>6</v>
      </c>
      <c r="H6" s="48">
        <v>7</v>
      </c>
      <c r="I6" s="48">
        <v>8</v>
      </c>
      <c r="J6" s="48">
        <v>9</v>
      </c>
      <c r="K6" s="48">
        <v>10</v>
      </c>
      <c r="L6" s="48">
        <v>11</v>
      </c>
    </row>
    <row r="7" spans="2:12" ht="15.75" x14ac:dyDescent="0.25">
      <c r="B7" s="160" t="s">
        <v>247</v>
      </c>
      <c r="C7" s="310" t="s">
        <v>601</v>
      </c>
      <c r="D7" s="201">
        <v>1.8</v>
      </c>
      <c r="E7" s="201">
        <v>2.8</v>
      </c>
      <c r="F7" s="201">
        <v>3.7</v>
      </c>
      <c r="G7" s="201">
        <v>4.5</v>
      </c>
      <c r="H7" s="201">
        <v>5.4</v>
      </c>
      <c r="I7" s="201">
        <v>8.6999999999999993</v>
      </c>
      <c r="J7" s="201">
        <v>14.6</v>
      </c>
      <c r="K7" s="201">
        <v>23.2</v>
      </c>
      <c r="L7" s="201">
        <v>35.299999999999997</v>
      </c>
    </row>
    <row r="8" spans="2:12" ht="15.75" x14ac:dyDescent="0.25">
      <c r="B8" s="160" t="s">
        <v>248</v>
      </c>
      <c r="C8" s="310" t="s">
        <v>602</v>
      </c>
      <c r="D8" s="309">
        <v>1.8</v>
      </c>
      <c r="E8" s="309">
        <v>2.8</v>
      </c>
      <c r="F8" s="309">
        <v>3.7</v>
      </c>
      <c r="G8" s="309">
        <v>4.5</v>
      </c>
      <c r="H8" s="309">
        <v>5.4</v>
      </c>
      <c r="I8" s="309">
        <v>8.6999999999999993</v>
      </c>
      <c r="J8" s="309">
        <v>14.6</v>
      </c>
      <c r="K8" s="309">
        <v>23.2</v>
      </c>
      <c r="L8" s="309">
        <v>35.299999999999997</v>
      </c>
    </row>
  </sheetData>
  <mergeCells count="1">
    <mergeCell ref="B4:L4"/>
  </mergeCells>
  <pageMargins left="0.7" right="0.7" top="0.75" bottom="0.75" header="0.3" footer="0.3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L51"/>
  <sheetViews>
    <sheetView topLeftCell="A31" workbookViewId="0"/>
  </sheetViews>
  <sheetFormatPr defaultRowHeight="15" x14ac:dyDescent="0.25"/>
  <cols>
    <col min="2" max="2" width="6.85546875" customWidth="1"/>
    <col min="3" max="3" width="48.7109375" customWidth="1"/>
    <col min="4" max="4" width="17.7109375" customWidth="1"/>
    <col min="5" max="5" width="13.5703125" customWidth="1"/>
    <col min="6" max="6" width="17.42578125" customWidth="1"/>
    <col min="7" max="7" width="13.7109375" customWidth="1"/>
    <col min="8" max="8" width="12.42578125" customWidth="1"/>
    <col min="9" max="9" width="12.7109375" customWidth="1"/>
    <col min="10" max="10" width="15" customWidth="1"/>
  </cols>
  <sheetData>
    <row r="3" spans="2:12" ht="16.5" thickBot="1" x14ac:dyDescent="0.3">
      <c r="B3" s="262"/>
      <c r="C3" s="262"/>
      <c r="D3" s="262"/>
      <c r="E3" s="262"/>
      <c r="F3" s="262"/>
      <c r="L3" s="174" t="s">
        <v>271</v>
      </c>
    </row>
    <row r="4" spans="2:12" ht="16.5" thickTop="1" x14ac:dyDescent="0.25">
      <c r="B4" s="472" t="s">
        <v>1387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</row>
    <row r="5" spans="2:12" ht="15.75" x14ac:dyDescent="0.25">
      <c r="B5" s="443" t="s">
        <v>100</v>
      </c>
      <c r="C5" s="443" t="s">
        <v>1082</v>
      </c>
      <c r="D5" s="443" t="s">
        <v>608</v>
      </c>
      <c r="E5" s="443"/>
      <c r="F5" s="443"/>
      <c r="G5" s="443"/>
      <c r="H5" s="443" t="s">
        <v>609</v>
      </c>
      <c r="I5" s="443"/>
      <c r="J5" s="443"/>
      <c r="K5" s="443"/>
      <c r="L5" s="50" t="s">
        <v>1</v>
      </c>
    </row>
    <row r="6" spans="2:12" ht="15.75" x14ac:dyDescent="0.25">
      <c r="B6" s="443"/>
      <c r="C6" s="443"/>
      <c r="D6" s="50" t="s">
        <v>157</v>
      </c>
      <c r="E6" s="50" t="s">
        <v>158</v>
      </c>
      <c r="F6" s="50" t="s">
        <v>18</v>
      </c>
      <c r="G6" s="50" t="s">
        <v>32</v>
      </c>
      <c r="H6" s="50" t="s">
        <v>157</v>
      </c>
      <c r="I6" s="50" t="s">
        <v>158</v>
      </c>
      <c r="J6" s="50" t="s">
        <v>18</v>
      </c>
      <c r="K6" s="50" t="s">
        <v>32</v>
      </c>
      <c r="L6" s="369" t="s">
        <v>370</v>
      </c>
    </row>
    <row r="7" spans="2:12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8">
        <v>8</v>
      </c>
      <c r="J7" s="48">
        <v>9</v>
      </c>
      <c r="K7" s="370">
        <v>10</v>
      </c>
      <c r="L7" s="370">
        <v>11</v>
      </c>
    </row>
    <row r="8" spans="2:12" ht="24.95" customHeight="1" x14ac:dyDescent="0.25">
      <c r="B8" s="209"/>
      <c r="C8" s="257" t="s">
        <v>1110</v>
      </c>
      <c r="D8" s="95"/>
      <c r="E8" s="95"/>
      <c r="F8" s="95"/>
      <c r="G8" s="95"/>
      <c r="H8" s="95"/>
      <c r="I8" s="95"/>
      <c r="J8" s="95"/>
      <c r="K8" s="371"/>
      <c r="L8" s="371"/>
    </row>
    <row r="9" spans="2:12" ht="36" customHeight="1" x14ac:dyDescent="0.25">
      <c r="B9" s="225" t="s">
        <v>247</v>
      </c>
      <c r="C9" s="257" t="s">
        <v>1111</v>
      </c>
      <c r="D9" s="372">
        <f>SUM(D10:D15)</f>
        <v>24707</v>
      </c>
      <c r="E9" s="372">
        <f>SUM(E10:E15)</f>
        <v>9114</v>
      </c>
      <c r="F9" s="372">
        <f>SUM(F10:F15)</f>
        <v>33821</v>
      </c>
      <c r="G9" s="250">
        <f>F9/(F9+F24+F37)*100</f>
        <v>93.081051327920733</v>
      </c>
      <c r="H9" s="372">
        <f>SUM(H10:H15)</f>
        <v>26640</v>
      </c>
      <c r="I9" s="372">
        <f>SUM(I10:I15)</f>
        <v>11284</v>
      </c>
      <c r="J9" s="372">
        <f>SUM(J10:J15)</f>
        <v>37924</v>
      </c>
      <c r="K9" s="250">
        <f>J9/(J9+J24+J37)*100</f>
        <v>93.755253399258336</v>
      </c>
      <c r="L9" s="225">
        <f>J9/F9*100</f>
        <v>112.13151592206026</v>
      </c>
    </row>
    <row r="10" spans="2:12" ht="30" customHeight="1" x14ac:dyDescent="0.25">
      <c r="B10" s="202" t="s">
        <v>58</v>
      </c>
      <c r="C10" s="83" t="s">
        <v>395</v>
      </c>
      <c r="D10" s="200">
        <v>0</v>
      </c>
      <c r="E10" s="200">
        <v>2</v>
      </c>
      <c r="F10" s="200">
        <f t="shared" ref="F10:F15" si="0">D10+E10</f>
        <v>2</v>
      </c>
      <c r="G10" s="187">
        <f>F10/(F9+F24+F37)*100</f>
        <v>5.5043346635475438E-3</v>
      </c>
      <c r="H10" s="200">
        <v>4</v>
      </c>
      <c r="I10" s="200">
        <v>0</v>
      </c>
      <c r="J10" s="200">
        <f t="shared" ref="J10:J15" si="1">H10+I10</f>
        <v>4</v>
      </c>
      <c r="K10" s="187">
        <f>J10/(J9+J24+J37)*100</f>
        <v>9.8887515451174281E-3</v>
      </c>
      <c r="L10" s="202">
        <f t="shared" ref="L10:L51" si="2">J10/F10*100</f>
        <v>200</v>
      </c>
    </row>
    <row r="11" spans="2:12" ht="23.1" customHeight="1" x14ac:dyDescent="0.25">
      <c r="B11" s="202" t="s">
        <v>88</v>
      </c>
      <c r="C11" s="83" t="s">
        <v>396</v>
      </c>
      <c r="D11" s="200">
        <v>0</v>
      </c>
      <c r="E11" s="200">
        <v>0</v>
      </c>
      <c r="F11" s="200">
        <f t="shared" si="0"/>
        <v>0</v>
      </c>
      <c r="G11" s="187">
        <f>F11/(F9+F24+F37)*100</f>
        <v>0</v>
      </c>
      <c r="H11" s="200">
        <v>4</v>
      </c>
      <c r="I11" s="200">
        <v>2</v>
      </c>
      <c r="J11" s="200">
        <f t="shared" si="1"/>
        <v>6</v>
      </c>
      <c r="K11" s="187">
        <f>J11/(J9+J24+J37)*100</f>
        <v>1.4833127317676144E-2</v>
      </c>
      <c r="L11" s="202" t="s">
        <v>80</v>
      </c>
    </row>
    <row r="12" spans="2:12" ht="23.1" customHeight="1" x14ac:dyDescent="0.25">
      <c r="B12" s="202" t="s">
        <v>274</v>
      </c>
      <c r="C12" s="83" t="s">
        <v>397</v>
      </c>
      <c r="D12" s="200">
        <v>22459</v>
      </c>
      <c r="E12" s="200">
        <v>8615</v>
      </c>
      <c r="F12" s="200">
        <f t="shared" si="0"/>
        <v>31074</v>
      </c>
      <c r="G12" s="187">
        <f>F12/(F9+F24+F37)*100</f>
        <v>85.520847667538192</v>
      </c>
      <c r="H12" s="200">
        <v>24117</v>
      </c>
      <c r="I12" s="200">
        <v>10674</v>
      </c>
      <c r="J12" s="200">
        <f t="shared" si="1"/>
        <v>34791</v>
      </c>
      <c r="K12" s="187">
        <f>J12/(J9+J24+J37)*100</f>
        <v>86.00988875154512</v>
      </c>
      <c r="L12" s="202">
        <f t="shared" si="2"/>
        <v>111.96176868121259</v>
      </c>
    </row>
    <row r="13" spans="2:12" ht="23.1" customHeight="1" x14ac:dyDescent="0.25">
      <c r="B13" s="202" t="s">
        <v>275</v>
      </c>
      <c r="C13" s="83" t="s">
        <v>222</v>
      </c>
      <c r="D13" s="200">
        <v>1756</v>
      </c>
      <c r="E13" s="200">
        <v>391</v>
      </c>
      <c r="F13" s="200">
        <f t="shared" si="0"/>
        <v>2147</v>
      </c>
      <c r="G13" s="187">
        <f>F13/(F9+F24+F37)*100</f>
        <v>5.9089032613182884</v>
      </c>
      <c r="H13" s="200">
        <v>2016</v>
      </c>
      <c r="I13" s="200">
        <v>473</v>
      </c>
      <c r="J13" s="200">
        <f t="shared" si="1"/>
        <v>2489</v>
      </c>
      <c r="K13" s="187">
        <f>J13/(J9+J24+J37)*100</f>
        <v>6.1532756489493208</v>
      </c>
      <c r="L13" s="202">
        <f t="shared" si="2"/>
        <v>115.92920353982301</v>
      </c>
    </row>
    <row r="14" spans="2:12" ht="23.1" customHeight="1" x14ac:dyDescent="0.25">
      <c r="B14" s="202" t="s">
        <v>276</v>
      </c>
      <c r="C14" s="83" t="s">
        <v>1112</v>
      </c>
      <c r="D14" s="200">
        <v>213</v>
      </c>
      <c r="E14" s="200">
        <v>77</v>
      </c>
      <c r="F14" s="200">
        <f t="shared" si="0"/>
        <v>290</v>
      </c>
      <c r="G14" s="187">
        <f>F14/(F9+F24+F37)*100</f>
        <v>0.79812852621439379</v>
      </c>
      <c r="H14" s="200">
        <v>241</v>
      </c>
      <c r="I14" s="200">
        <v>94</v>
      </c>
      <c r="J14" s="200">
        <f t="shared" si="1"/>
        <v>335</v>
      </c>
      <c r="K14" s="187">
        <f>J14/(J9+J24+J37)*100</f>
        <v>0.82818294190358466</v>
      </c>
      <c r="L14" s="202">
        <f t="shared" si="2"/>
        <v>115.51724137931035</v>
      </c>
    </row>
    <row r="15" spans="2:12" ht="30" customHeight="1" x14ac:dyDescent="0.25">
      <c r="B15" s="202" t="s">
        <v>399</v>
      </c>
      <c r="C15" s="83" t="s">
        <v>1113</v>
      </c>
      <c r="D15" s="200">
        <v>279</v>
      </c>
      <c r="E15" s="200">
        <v>29</v>
      </c>
      <c r="F15" s="200">
        <f t="shared" si="0"/>
        <v>308</v>
      </c>
      <c r="G15" s="187">
        <f>F15/(F9+F24+F37)*100</f>
        <v>0.84766753818632179</v>
      </c>
      <c r="H15" s="200">
        <v>258</v>
      </c>
      <c r="I15" s="200">
        <v>41</v>
      </c>
      <c r="J15" s="200">
        <f t="shared" si="1"/>
        <v>299</v>
      </c>
      <c r="K15" s="187">
        <f>J15/(J9+J24+J37)*100</f>
        <v>0.73918417799752789</v>
      </c>
      <c r="L15" s="202">
        <f t="shared" si="2"/>
        <v>97.077922077922068</v>
      </c>
    </row>
    <row r="16" spans="2:12" ht="30" customHeight="1" x14ac:dyDescent="0.25">
      <c r="B16" s="225" t="s">
        <v>248</v>
      </c>
      <c r="C16" s="257" t="s">
        <v>1114</v>
      </c>
      <c r="D16" s="372">
        <f>SUM(D17:D20)</f>
        <v>2670</v>
      </c>
      <c r="E16" s="372">
        <f>SUM(E17:E20)</f>
        <v>1600</v>
      </c>
      <c r="F16" s="372">
        <f>SUM(F17:F20)</f>
        <v>4270</v>
      </c>
      <c r="G16" s="250">
        <f>F16/(F16+F28+F41+F45+F50)*100</f>
        <v>14.18840338926732</v>
      </c>
      <c r="H16" s="372">
        <f>SUM(H17:H20)</f>
        <v>3315</v>
      </c>
      <c r="I16" s="372">
        <f>SUM(I17:I20)</f>
        <v>2306</v>
      </c>
      <c r="J16" s="372">
        <f>SUM(J17:J20)</f>
        <v>5621</v>
      </c>
      <c r="K16" s="250">
        <f>J16/(J16+J28+J41+J45+J50)*100</f>
        <v>16.506622030364433</v>
      </c>
      <c r="L16" s="225">
        <f t="shared" si="2"/>
        <v>131.63934426229508</v>
      </c>
    </row>
    <row r="17" spans="2:12" ht="23.1" customHeight="1" x14ac:dyDescent="0.25">
      <c r="B17" s="202" t="s">
        <v>277</v>
      </c>
      <c r="C17" s="83" t="s">
        <v>221</v>
      </c>
      <c r="D17" s="200">
        <v>2365</v>
      </c>
      <c r="E17" s="200">
        <v>1463</v>
      </c>
      <c r="F17" s="200">
        <f>D17+E17</f>
        <v>3828</v>
      </c>
      <c r="G17" s="187">
        <f>F17/(F16+F28+F41+F45+F50)*100</f>
        <v>12.719720883867753</v>
      </c>
      <c r="H17" s="200">
        <v>2942</v>
      </c>
      <c r="I17" s="200">
        <v>2139</v>
      </c>
      <c r="J17" s="200">
        <f>H17+I17</f>
        <v>5081</v>
      </c>
      <c r="K17" s="187">
        <f>J17/(J16+J28+J41+J45+J50)*100</f>
        <v>14.920858661498251</v>
      </c>
      <c r="L17" s="202">
        <f t="shared" si="2"/>
        <v>132.73249738766981</v>
      </c>
    </row>
    <row r="18" spans="2:12" ht="23.1" customHeight="1" x14ac:dyDescent="0.25">
      <c r="B18" s="202" t="s">
        <v>278</v>
      </c>
      <c r="C18" s="83" t="s">
        <v>405</v>
      </c>
      <c r="D18" s="200">
        <v>175</v>
      </c>
      <c r="E18" s="200">
        <v>108</v>
      </c>
      <c r="F18" s="200">
        <f>D18+E18</f>
        <v>283</v>
      </c>
      <c r="G18" s="187">
        <f>F18/(F16+F28+F41+F45+F50)*100</f>
        <v>0.94035554078750627</v>
      </c>
      <c r="H18" s="200">
        <v>202</v>
      </c>
      <c r="I18" s="200">
        <v>137</v>
      </c>
      <c r="J18" s="200">
        <f t="shared" ref="J18:J20" si="3">H18+I18</f>
        <v>339</v>
      </c>
      <c r="K18" s="187">
        <f>J18/(J16+J28+J41+J45+J50)*100</f>
        <v>0.99550700378821244</v>
      </c>
      <c r="L18" s="202">
        <f t="shared" si="2"/>
        <v>119.78798586572439</v>
      </c>
    </row>
    <row r="19" spans="2:12" ht="23.1" customHeight="1" x14ac:dyDescent="0.25">
      <c r="B19" s="202" t="s">
        <v>279</v>
      </c>
      <c r="C19" s="83" t="s">
        <v>1112</v>
      </c>
      <c r="D19" s="200">
        <v>0</v>
      </c>
      <c r="E19" s="200">
        <v>0</v>
      </c>
      <c r="F19" s="200">
        <f>D19+E19</f>
        <v>0</v>
      </c>
      <c r="G19" s="187">
        <f>F19/(F16+F28+F41+F45+F50)*100</f>
        <v>0</v>
      </c>
      <c r="H19" s="200">
        <v>0</v>
      </c>
      <c r="I19" s="200">
        <v>0</v>
      </c>
      <c r="J19" s="200">
        <f t="shared" si="3"/>
        <v>0</v>
      </c>
      <c r="K19" s="187">
        <f>J19/(J16+J28+J41+J45+J50)*100</f>
        <v>0</v>
      </c>
      <c r="L19" s="202" t="s">
        <v>80</v>
      </c>
    </row>
    <row r="20" spans="2:12" ht="30" customHeight="1" x14ac:dyDescent="0.25">
      <c r="B20" s="202" t="s">
        <v>280</v>
      </c>
      <c r="C20" s="83" t="s">
        <v>1115</v>
      </c>
      <c r="D20" s="200">
        <v>130</v>
      </c>
      <c r="E20" s="200">
        <v>29</v>
      </c>
      <c r="F20" s="200">
        <f>D20+E20</f>
        <v>159</v>
      </c>
      <c r="G20" s="187">
        <f>F20/(F16+F28+F41+F45+F50)*100</f>
        <v>0.52832696461206186</v>
      </c>
      <c r="H20" s="200">
        <v>171</v>
      </c>
      <c r="I20" s="200">
        <v>30</v>
      </c>
      <c r="J20" s="200">
        <f t="shared" si="3"/>
        <v>201</v>
      </c>
      <c r="K20" s="187">
        <f>J20/(J16+J28+J41+J45+J50)*100</f>
        <v>0.59025636507796664</v>
      </c>
      <c r="L20" s="202">
        <f t="shared" si="2"/>
        <v>126.41509433962264</v>
      </c>
    </row>
    <row r="21" spans="2:12" ht="23.1" customHeight="1" x14ac:dyDescent="0.25">
      <c r="B21" s="225" t="s">
        <v>249</v>
      </c>
      <c r="C21" s="257" t="s">
        <v>1116</v>
      </c>
      <c r="D21" s="372">
        <f>D9-D16</f>
        <v>22037</v>
      </c>
      <c r="E21" s="372">
        <f>E9-E16</f>
        <v>7514</v>
      </c>
      <c r="F21" s="372">
        <f>F9-F16</f>
        <v>29551</v>
      </c>
      <c r="G21" s="250">
        <f>F21/(F9+F24+F37)*100</f>
        <v>81.329296821246729</v>
      </c>
      <c r="H21" s="372">
        <f>H9-H16</f>
        <v>23325</v>
      </c>
      <c r="I21" s="372">
        <f>I9-I16</f>
        <v>8978</v>
      </c>
      <c r="J21" s="372">
        <f>J9-J16</f>
        <v>32303</v>
      </c>
      <c r="K21" s="250">
        <f>J21/(J9+J24+J37)*100</f>
        <v>79.859085290482085</v>
      </c>
      <c r="L21" s="225">
        <f t="shared" si="2"/>
        <v>109.31271361375249</v>
      </c>
    </row>
    <row r="22" spans="2:12" ht="15.75" x14ac:dyDescent="0.25">
      <c r="B22" s="225"/>
      <c r="C22" s="257"/>
      <c r="D22" s="200"/>
      <c r="E22" s="200"/>
      <c r="F22" s="200"/>
      <c r="G22" s="187"/>
      <c r="H22" s="200"/>
      <c r="I22" s="200"/>
      <c r="J22" s="200"/>
      <c r="K22" s="187"/>
      <c r="L22" s="225"/>
    </row>
    <row r="23" spans="2:12" ht="23.1" customHeight="1" x14ac:dyDescent="0.25">
      <c r="B23" s="225"/>
      <c r="C23" s="257" t="s">
        <v>1117</v>
      </c>
      <c r="D23" s="200"/>
      <c r="E23" s="200"/>
      <c r="F23" s="200"/>
      <c r="G23" s="187"/>
      <c r="H23" s="200"/>
      <c r="I23" s="200"/>
      <c r="J23" s="200"/>
      <c r="K23" s="187"/>
      <c r="L23" s="225"/>
    </row>
    <row r="24" spans="2:12" ht="23.1" customHeight="1" x14ac:dyDescent="0.25">
      <c r="B24" s="225" t="s">
        <v>250</v>
      </c>
      <c r="C24" s="257" t="s">
        <v>1118</v>
      </c>
      <c r="D24" s="372">
        <f>SUM(D25:D27)</f>
        <v>1703</v>
      </c>
      <c r="E24" s="372">
        <f>SUM(E25:E27)</f>
        <v>371</v>
      </c>
      <c r="F24" s="372">
        <f>SUM(F25:F27)</f>
        <v>2074</v>
      </c>
      <c r="G24" s="250">
        <f>F24/(F9+F24+F37)*100</f>
        <v>5.7079950460988034</v>
      </c>
      <c r="H24" s="372">
        <f>SUM(H25:H27)</f>
        <v>1632</v>
      </c>
      <c r="I24" s="372">
        <f>SUM(I25:I27)</f>
        <v>256</v>
      </c>
      <c r="J24" s="372">
        <f>SUM(J25:J27)</f>
        <v>1888</v>
      </c>
      <c r="K24" s="250">
        <f>J24/(J9+J24+J37)*100</f>
        <v>4.6674907292954266</v>
      </c>
      <c r="L24" s="225">
        <f t="shared" si="2"/>
        <v>91.031822565091616</v>
      </c>
    </row>
    <row r="25" spans="2:12" ht="23.1" customHeight="1" x14ac:dyDescent="0.25">
      <c r="B25" s="202" t="s">
        <v>1119</v>
      </c>
      <c r="C25" s="83" t="s">
        <v>363</v>
      </c>
      <c r="D25" s="200">
        <v>67</v>
      </c>
      <c r="E25" s="200">
        <v>0</v>
      </c>
      <c r="F25" s="200">
        <f>D25+E25</f>
        <v>67</v>
      </c>
      <c r="G25" s="187">
        <f>F25/(F9+F25+F37)*100</f>
        <v>0.19517594966208343</v>
      </c>
      <c r="H25" s="200">
        <v>71</v>
      </c>
      <c r="I25" s="200">
        <v>0</v>
      </c>
      <c r="J25" s="200">
        <f>H25+I25</f>
        <v>71</v>
      </c>
      <c r="K25" s="187">
        <f>J25/(J9+J25+J37)*100</f>
        <v>0.18378070561437113</v>
      </c>
      <c r="L25" s="202">
        <f t="shared" si="2"/>
        <v>105.97014925373134</v>
      </c>
    </row>
    <row r="26" spans="2:12" ht="23.1" customHeight="1" x14ac:dyDescent="0.25">
      <c r="B26" s="202" t="s">
        <v>1120</v>
      </c>
      <c r="C26" s="83" t="s">
        <v>1121</v>
      </c>
      <c r="D26" s="200">
        <v>1633</v>
      </c>
      <c r="E26" s="200">
        <v>370</v>
      </c>
      <c r="F26" s="200">
        <f>D26+E26</f>
        <v>2003</v>
      </c>
      <c r="G26" s="187">
        <f>F26/(F9+F26+F37)*100</f>
        <v>5.5233840723582617</v>
      </c>
      <c r="H26" s="200">
        <v>1560</v>
      </c>
      <c r="I26" s="200">
        <v>256</v>
      </c>
      <c r="J26" s="200">
        <f t="shared" ref="J26:J27" si="4">H26+I26</f>
        <v>1816</v>
      </c>
      <c r="K26" s="187">
        <f>J26/(J9+J26+J37)*100</f>
        <v>4.4974986378721082</v>
      </c>
      <c r="L26" s="202">
        <f t="shared" si="2"/>
        <v>90.664003994008993</v>
      </c>
    </row>
    <row r="27" spans="2:12" ht="23.1" customHeight="1" x14ac:dyDescent="0.25">
      <c r="B27" s="202" t="s">
        <v>1122</v>
      </c>
      <c r="C27" s="83" t="s">
        <v>402</v>
      </c>
      <c r="D27" s="200">
        <v>3</v>
      </c>
      <c r="E27" s="200">
        <v>1</v>
      </c>
      <c r="F27" s="200">
        <f>D27+E27</f>
        <v>4</v>
      </c>
      <c r="G27" s="187">
        <f>F27/(F9+F27+F37)*100</f>
        <v>1.1673719538888077E-2</v>
      </c>
      <c r="H27" s="200">
        <v>1</v>
      </c>
      <c r="I27" s="200">
        <v>0</v>
      </c>
      <c r="J27" s="200">
        <f t="shared" si="4"/>
        <v>1</v>
      </c>
      <c r="K27" s="187">
        <f>J27/(J9+J27+J37)*100</f>
        <v>2.5931592459092915E-3</v>
      </c>
      <c r="L27" s="202">
        <f t="shared" si="2"/>
        <v>25</v>
      </c>
    </row>
    <row r="28" spans="2:12" ht="23.1" customHeight="1" x14ac:dyDescent="0.25">
      <c r="B28" s="225" t="s">
        <v>251</v>
      </c>
      <c r="C28" s="257" t="s">
        <v>1123</v>
      </c>
      <c r="D28" s="372">
        <f>D29+D30+D33+D34+D35</f>
        <v>17308</v>
      </c>
      <c r="E28" s="372">
        <f>E29+E30+E33+E34+E35</f>
        <v>5256</v>
      </c>
      <c r="F28" s="372">
        <f>F29+F30+F33+F34+F35</f>
        <v>22564</v>
      </c>
      <c r="G28" s="250">
        <f>F28/(F16+F28+F41+F45+F50)*100</f>
        <v>74.975909619538129</v>
      </c>
      <c r="H28" s="372">
        <f>H29+H30+H33+H34+H35</f>
        <v>19389</v>
      </c>
      <c r="I28" s="372">
        <f>I29+I30+I33+I34+I35</f>
        <v>5197</v>
      </c>
      <c r="J28" s="372">
        <f>J29+J30+J33+J34+J35</f>
        <v>24586</v>
      </c>
      <c r="K28" s="250">
        <f>J28/(J16+J28+J41+J45+J50)*100</f>
        <v>72.199218864710886</v>
      </c>
      <c r="L28" s="225">
        <f t="shared" si="2"/>
        <v>108.96117709625952</v>
      </c>
    </row>
    <row r="29" spans="2:12" ht="23.1" customHeight="1" x14ac:dyDescent="0.25">
      <c r="B29" s="202" t="s">
        <v>1124</v>
      </c>
      <c r="C29" s="83" t="s">
        <v>1125</v>
      </c>
      <c r="D29" s="200">
        <v>11098</v>
      </c>
      <c r="E29" s="200">
        <v>3182</v>
      </c>
      <c r="F29" s="200">
        <f>D29+E29</f>
        <v>14280</v>
      </c>
      <c r="G29" s="187">
        <f>F29/(F16+F28+F41+F45+F50)*100</f>
        <v>47.449742482139889</v>
      </c>
      <c r="H29" s="200">
        <v>11989</v>
      </c>
      <c r="I29" s="200">
        <v>3069</v>
      </c>
      <c r="J29" s="200">
        <f>H29+I29</f>
        <v>15058</v>
      </c>
      <c r="K29" s="187">
        <f>J29/(J16+J28+J41+J45+J50)*100</f>
        <v>44.219305200716533</v>
      </c>
      <c r="L29" s="202">
        <f t="shared" si="2"/>
        <v>105.44817927170868</v>
      </c>
    </row>
    <row r="30" spans="2:12" ht="23.1" customHeight="1" x14ac:dyDescent="0.25">
      <c r="B30" s="202" t="s">
        <v>1126</v>
      </c>
      <c r="C30" s="83" t="s">
        <v>1127</v>
      </c>
      <c r="D30" s="200">
        <f>D31+D32</f>
        <v>1225</v>
      </c>
      <c r="E30" s="200">
        <f>E31+E32</f>
        <v>415</v>
      </c>
      <c r="F30" s="200">
        <f>F31+F32</f>
        <v>1640</v>
      </c>
      <c r="G30" s="187">
        <f>F30/(F16+F28+F41+F45+F50)*100</f>
        <v>5.4494102010300711</v>
      </c>
      <c r="H30" s="200">
        <f>H31+H32</f>
        <v>1356</v>
      </c>
      <c r="I30" s="200">
        <f>I31+I32</f>
        <v>425</v>
      </c>
      <c r="J30" s="200">
        <f t="shared" ref="J30:J35" si="5">H30+I30</f>
        <v>1781</v>
      </c>
      <c r="K30" s="187">
        <f>J30/(J16+J28+J41+J45+J50)*100</f>
        <v>5.2300825184271575</v>
      </c>
      <c r="L30" s="202">
        <f t="shared" si="2"/>
        <v>108.59756097560975</v>
      </c>
    </row>
    <row r="31" spans="2:12" ht="23.1" customHeight="1" x14ac:dyDescent="0.25">
      <c r="B31" s="202" t="s">
        <v>1128</v>
      </c>
      <c r="C31" s="83" t="s">
        <v>1129</v>
      </c>
      <c r="D31" s="200">
        <v>761</v>
      </c>
      <c r="E31" s="200">
        <v>282</v>
      </c>
      <c r="F31" s="200">
        <f>D31+E31</f>
        <v>1043</v>
      </c>
      <c r="G31" s="187">
        <f>F31/(F16+F28+F41+F45+F50)*100</f>
        <v>3.4656919754111977</v>
      </c>
      <c r="H31" s="200">
        <v>872</v>
      </c>
      <c r="I31" s="200">
        <v>280</v>
      </c>
      <c r="J31" s="200">
        <f t="shared" si="5"/>
        <v>1152</v>
      </c>
      <c r="K31" s="187">
        <f>J31/(J16+J28+J41+J45+J50)*100</f>
        <v>3.3829618535811825</v>
      </c>
      <c r="L31" s="202">
        <f t="shared" si="2"/>
        <v>110.45062320230106</v>
      </c>
    </row>
    <row r="32" spans="2:12" ht="23.1" customHeight="1" x14ac:dyDescent="0.25">
      <c r="B32" s="202" t="s">
        <v>1130</v>
      </c>
      <c r="C32" s="83" t="s">
        <v>1131</v>
      </c>
      <c r="D32" s="200">
        <v>464</v>
      </c>
      <c r="E32" s="200">
        <v>133</v>
      </c>
      <c r="F32" s="200">
        <f>D32+E32</f>
        <v>597</v>
      </c>
      <c r="G32" s="187">
        <f>F32/(F16+F28+F41+F45+F50)*100</f>
        <v>1.9837182256188735</v>
      </c>
      <c r="H32" s="200">
        <v>484</v>
      </c>
      <c r="I32" s="200">
        <v>145</v>
      </c>
      <c r="J32" s="200">
        <f t="shared" si="5"/>
        <v>629</v>
      </c>
      <c r="K32" s="187">
        <f>J32/(J16+J28+J41+J45+J50)*100</f>
        <v>1.8471206648459755</v>
      </c>
      <c r="L32" s="202">
        <f t="shared" si="2"/>
        <v>105.3601340033501</v>
      </c>
    </row>
    <row r="33" spans="2:12" ht="23.1" customHeight="1" x14ac:dyDescent="0.25">
      <c r="B33" s="202" t="s">
        <v>1132</v>
      </c>
      <c r="C33" s="83" t="s">
        <v>408</v>
      </c>
      <c r="D33" s="200">
        <v>604</v>
      </c>
      <c r="E33" s="200">
        <v>149</v>
      </c>
      <c r="F33" s="200">
        <f>D33+E33</f>
        <v>753</v>
      </c>
      <c r="G33" s="187">
        <f>F33/(F16+F28+F41+F45+F50)*100</f>
        <v>2.502076756936368</v>
      </c>
      <c r="H33" s="200">
        <v>673</v>
      </c>
      <c r="I33" s="200">
        <v>148</v>
      </c>
      <c r="J33" s="200">
        <f t="shared" si="5"/>
        <v>821</v>
      </c>
      <c r="K33" s="187">
        <f>J33/(J16+J28+J41+J45+J50)*100</f>
        <v>2.4109476404428389</v>
      </c>
      <c r="L33" s="202">
        <f t="shared" si="2"/>
        <v>109.03054448871181</v>
      </c>
    </row>
    <row r="34" spans="2:12" ht="23.1" customHeight="1" x14ac:dyDescent="0.25">
      <c r="B34" s="202" t="s">
        <v>1133</v>
      </c>
      <c r="C34" s="83" t="s">
        <v>409</v>
      </c>
      <c r="D34" s="200">
        <v>3765</v>
      </c>
      <c r="E34" s="200">
        <v>1130</v>
      </c>
      <c r="F34" s="200">
        <f>D34+E34</f>
        <v>4895</v>
      </c>
      <c r="G34" s="187">
        <f>F34/(F16+F28+F41+F45+F50)*100</f>
        <v>16.265160325635488</v>
      </c>
      <c r="H34" s="200">
        <v>4470</v>
      </c>
      <c r="I34" s="200">
        <v>1263</v>
      </c>
      <c r="J34" s="200">
        <f t="shared" si="5"/>
        <v>5733</v>
      </c>
      <c r="K34" s="187">
        <f>J34/(J16+J28+J41+J45+J50)*100</f>
        <v>16.835521099462603</v>
      </c>
      <c r="L34" s="202">
        <f t="shared" si="2"/>
        <v>117.11950970377936</v>
      </c>
    </row>
    <row r="35" spans="2:12" ht="23.1" customHeight="1" x14ac:dyDescent="0.25">
      <c r="B35" s="202" t="s">
        <v>1134</v>
      </c>
      <c r="C35" s="83" t="s">
        <v>411</v>
      </c>
      <c r="D35" s="200">
        <v>616</v>
      </c>
      <c r="E35" s="200">
        <v>380</v>
      </c>
      <c r="F35" s="200">
        <f>D35+E35</f>
        <v>996</v>
      </c>
      <c r="G35" s="187">
        <f>F35/(F16+F28+F41+F45+F50)*100</f>
        <v>3.3095198537963118</v>
      </c>
      <c r="H35" s="200">
        <v>901</v>
      </c>
      <c r="I35" s="200">
        <v>292</v>
      </c>
      <c r="J35" s="200">
        <f t="shared" si="5"/>
        <v>1193</v>
      </c>
      <c r="K35" s="187">
        <f>J35/(J16+J28+J41+J45+J50)*100</f>
        <v>3.5033624056617625</v>
      </c>
      <c r="L35" s="202">
        <f t="shared" si="2"/>
        <v>119.77911646586345</v>
      </c>
    </row>
    <row r="36" spans="2:12" ht="23.1" customHeight="1" x14ac:dyDescent="0.25">
      <c r="B36" s="225"/>
      <c r="C36" s="257" t="s">
        <v>1135</v>
      </c>
      <c r="D36" s="200"/>
      <c r="E36" s="200"/>
      <c r="F36" s="200"/>
      <c r="G36" s="187"/>
      <c r="H36" s="200"/>
      <c r="I36" s="200"/>
      <c r="J36" s="200"/>
      <c r="K36" s="187"/>
      <c r="L36" s="225"/>
    </row>
    <row r="37" spans="2:12" ht="23.1" customHeight="1" x14ac:dyDescent="0.25">
      <c r="B37" s="225" t="s">
        <v>252</v>
      </c>
      <c r="C37" s="257" t="s">
        <v>1136</v>
      </c>
      <c r="D37" s="372">
        <f>SUM(D38:D40)</f>
        <v>362</v>
      </c>
      <c r="E37" s="372">
        <f>SUM(E38:E40)</f>
        <v>78</v>
      </c>
      <c r="F37" s="372">
        <f>SUM(F38:F40)</f>
        <v>440</v>
      </c>
      <c r="G37" s="250">
        <f>F37/(F9+F24+F37)*100</f>
        <v>1.2109536259804596</v>
      </c>
      <c r="H37" s="372">
        <f>SUM(H38:H40)</f>
        <v>397</v>
      </c>
      <c r="I37" s="372">
        <f>SUM(I38:I40)</f>
        <v>241</v>
      </c>
      <c r="J37" s="372">
        <f>SUM(J38:J40)</f>
        <v>638</v>
      </c>
      <c r="K37" s="250">
        <f>J37/(J9+J24+J37)*100</f>
        <v>1.5772558714462301</v>
      </c>
      <c r="L37" s="225">
        <f t="shared" si="2"/>
        <v>145</v>
      </c>
    </row>
    <row r="38" spans="2:12" ht="30" customHeight="1" x14ac:dyDescent="0.25">
      <c r="B38" s="202" t="s">
        <v>1137</v>
      </c>
      <c r="C38" s="83" t="s">
        <v>1138</v>
      </c>
      <c r="D38" s="200">
        <v>49</v>
      </c>
      <c r="E38" s="200">
        <v>0</v>
      </c>
      <c r="F38" s="200">
        <f>D38+E38</f>
        <v>49</v>
      </c>
      <c r="G38" s="187">
        <f>F38/(F9+F24+F37)*100</f>
        <v>0.13485619925691483</v>
      </c>
      <c r="H38" s="200">
        <v>69</v>
      </c>
      <c r="I38" s="200">
        <v>116</v>
      </c>
      <c r="J38" s="200">
        <f>H38+I38</f>
        <v>185</v>
      </c>
      <c r="K38" s="187">
        <f>J38/(J9+J24+J37)*100</f>
        <v>0.4573547589616811</v>
      </c>
      <c r="L38" s="202">
        <f t="shared" si="2"/>
        <v>377.55102040816325</v>
      </c>
    </row>
    <row r="39" spans="2:12" ht="23.1" customHeight="1" x14ac:dyDescent="0.25">
      <c r="B39" s="202" t="s">
        <v>1139</v>
      </c>
      <c r="C39" s="83" t="s">
        <v>1151</v>
      </c>
      <c r="D39" s="200">
        <v>0</v>
      </c>
      <c r="E39" s="200">
        <v>0</v>
      </c>
      <c r="F39" s="200">
        <f>D39+E39</f>
        <v>0</v>
      </c>
      <c r="G39" s="187">
        <f>F39/(F9+F24+F37)*100</f>
        <v>0</v>
      </c>
      <c r="H39" s="200">
        <v>0</v>
      </c>
      <c r="I39" s="200">
        <v>0</v>
      </c>
      <c r="J39" s="200">
        <f t="shared" ref="J39:J40" si="6">H39+I39</f>
        <v>0</v>
      </c>
      <c r="K39" s="187">
        <f>J39/(J9+J24+J37)*100</f>
        <v>0</v>
      </c>
      <c r="L39" s="225" t="s">
        <v>80</v>
      </c>
    </row>
    <row r="40" spans="2:12" ht="23.1" customHeight="1" x14ac:dyDescent="0.25">
      <c r="B40" s="202" t="s">
        <v>1140</v>
      </c>
      <c r="C40" s="83" t="s">
        <v>759</v>
      </c>
      <c r="D40" s="200">
        <v>313</v>
      </c>
      <c r="E40" s="200">
        <v>78</v>
      </c>
      <c r="F40" s="200">
        <f>D40+E40</f>
        <v>391</v>
      </c>
      <c r="G40" s="187">
        <f>F40/(F9+F24+F37)*100</f>
        <v>1.0760974267235448</v>
      </c>
      <c r="H40" s="200">
        <v>328</v>
      </c>
      <c r="I40" s="200">
        <v>125</v>
      </c>
      <c r="J40" s="200">
        <f t="shared" si="6"/>
        <v>453</v>
      </c>
      <c r="K40" s="187">
        <f>J40/(J9+J24+J37)*100</f>
        <v>1.1199011124845488</v>
      </c>
      <c r="L40" s="202">
        <f t="shared" si="2"/>
        <v>115.85677749360615</v>
      </c>
    </row>
    <row r="41" spans="2:12" ht="23.1" customHeight="1" x14ac:dyDescent="0.25">
      <c r="B41" s="225" t="s">
        <v>422</v>
      </c>
      <c r="C41" s="257" t="s">
        <v>1141</v>
      </c>
      <c r="D41" s="372">
        <f>SUM(D42:D44)</f>
        <v>179</v>
      </c>
      <c r="E41" s="372">
        <f>SUM(E42:E44)</f>
        <v>134</v>
      </c>
      <c r="F41" s="372">
        <f>SUM(F42:F44)</f>
        <v>313</v>
      </c>
      <c r="G41" s="250">
        <f>F41/(F16+F28+F41+F45+F50)*100</f>
        <v>1.0400398737331782</v>
      </c>
      <c r="H41" s="372">
        <f>SUM(H42:H44)</f>
        <v>109</v>
      </c>
      <c r="I41" s="372">
        <f>SUM(I42:I44)</f>
        <v>11</v>
      </c>
      <c r="J41" s="372">
        <f>SUM(J42:J44)</f>
        <v>120</v>
      </c>
      <c r="K41" s="250">
        <f>J41/(J16+J28+J41+J45+J50)*100</f>
        <v>0.35239185974803983</v>
      </c>
      <c r="L41" s="225">
        <f t="shared" si="2"/>
        <v>38.338658146964853</v>
      </c>
    </row>
    <row r="42" spans="2:12" ht="30" customHeight="1" x14ac:dyDescent="0.25">
      <c r="B42" s="202" t="s">
        <v>782</v>
      </c>
      <c r="C42" s="83" t="s">
        <v>1142</v>
      </c>
      <c r="D42" s="200">
        <v>8</v>
      </c>
      <c r="E42" s="200">
        <v>0</v>
      </c>
      <c r="F42" s="200">
        <f>D42+E42</f>
        <v>8</v>
      </c>
      <c r="G42" s="187">
        <f>F42/(F16+F28+F41+F45+F50)*100</f>
        <v>2.6582488785512542E-2</v>
      </c>
      <c r="H42" s="200">
        <v>36</v>
      </c>
      <c r="I42" s="200">
        <v>2</v>
      </c>
      <c r="J42" s="200">
        <f>H42+I42</f>
        <v>38</v>
      </c>
      <c r="K42" s="187">
        <f>J42/(J16+J28+J41+J45+J50)*100</f>
        <v>0.11159075558687928</v>
      </c>
      <c r="L42" s="202">
        <f t="shared" si="2"/>
        <v>475</v>
      </c>
    </row>
    <row r="43" spans="2:12" ht="30" customHeight="1" x14ac:dyDescent="0.25">
      <c r="B43" s="202" t="s">
        <v>783</v>
      </c>
      <c r="C43" s="83" t="s">
        <v>1152</v>
      </c>
      <c r="D43" s="200">
        <v>37</v>
      </c>
      <c r="E43" s="200">
        <v>0</v>
      </c>
      <c r="F43" s="200">
        <f>D43+E43</f>
        <v>37</v>
      </c>
      <c r="G43" s="187">
        <f>F43/(F16+F28+F41+F45+F50)*100</f>
        <v>0.12294401063299551</v>
      </c>
      <c r="H43" s="200">
        <v>37</v>
      </c>
      <c r="I43" s="200">
        <v>0</v>
      </c>
      <c r="J43" s="200">
        <f t="shared" ref="J43:J44" si="7">H43+I43</f>
        <v>37</v>
      </c>
      <c r="K43" s="187">
        <f>J43/(J16+J28+J41+J45+J50)*100</f>
        <v>0.10865415675564562</v>
      </c>
      <c r="L43" s="202">
        <f t="shared" si="2"/>
        <v>100</v>
      </c>
    </row>
    <row r="44" spans="2:12" ht="23.1" customHeight="1" x14ac:dyDescent="0.25">
      <c r="B44" s="202" t="s">
        <v>784</v>
      </c>
      <c r="C44" s="83" t="s">
        <v>1143</v>
      </c>
      <c r="D44" s="200">
        <v>134</v>
      </c>
      <c r="E44" s="200">
        <v>134</v>
      </c>
      <c r="F44" s="200">
        <f>D44+E44</f>
        <v>268</v>
      </c>
      <c r="G44" s="187">
        <f>F44/(F16+F28+F41+F45+F50)*100</f>
        <v>0.89051337431467015</v>
      </c>
      <c r="H44" s="200">
        <v>36</v>
      </c>
      <c r="I44" s="200">
        <v>9</v>
      </c>
      <c r="J44" s="200">
        <f t="shared" si="7"/>
        <v>45</v>
      </c>
      <c r="K44" s="187">
        <f>J44/(J16+J28+J41+J45+J50)*100</f>
        <v>0.13214694740551494</v>
      </c>
      <c r="L44" s="202">
        <f t="shared" si="2"/>
        <v>16.791044776119403</v>
      </c>
    </row>
    <row r="45" spans="2:12" ht="30" customHeight="1" x14ac:dyDescent="0.25">
      <c r="B45" s="225" t="s">
        <v>254</v>
      </c>
      <c r="C45" s="257" t="s">
        <v>1144</v>
      </c>
      <c r="D45" s="372">
        <f>SUM(D46:D48)</f>
        <v>1656</v>
      </c>
      <c r="E45" s="372">
        <f>SUM(E46:E48)</f>
        <v>660</v>
      </c>
      <c r="F45" s="372">
        <f>SUM(F46:F48)</f>
        <v>2316</v>
      </c>
      <c r="G45" s="250">
        <f>F45/(F16+F28+F41+F45+F50)*100</f>
        <v>7.6956305034058818</v>
      </c>
      <c r="H45" s="372">
        <f>SUM(H46:H48)</f>
        <v>1496</v>
      </c>
      <c r="I45" s="372">
        <f>SUM(I46:I48)</f>
        <v>1583</v>
      </c>
      <c r="J45" s="372">
        <f>SUM(J46:J48)</f>
        <v>3079</v>
      </c>
      <c r="K45" s="250">
        <f>J45/(J16+J28+J41+J45+J50)*100</f>
        <v>9.0417878013684554</v>
      </c>
      <c r="L45" s="225">
        <f t="shared" si="2"/>
        <v>132.94473229706389</v>
      </c>
    </row>
    <row r="46" spans="2:12" ht="23.1" customHeight="1" x14ac:dyDescent="0.25">
      <c r="B46" s="202" t="s">
        <v>786</v>
      </c>
      <c r="C46" s="83" t="s">
        <v>1145</v>
      </c>
      <c r="D46" s="200">
        <v>1500</v>
      </c>
      <c r="E46" s="200">
        <v>607</v>
      </c>
      <c r="F46" s="200">
        <f>D46+E46</f>
        <v>2107</v>
      </c>
      <c r="G46" s="187">
        <f>F46/(F16+F28+F41+F45+F50)*100</f>
        <v>7.0011629838843668</v>
      </c>
      <c r="H46" s="200">
        <v>1374</v>
      </c>
      <c r="I46" s="200">
        <v>1496</v>
      </c>
      <c r="J46" s="200">
        <f>H46+I46</f>
        <v>2870</v>
      </c>
      <c r="K46" s="187">
        <f>J46/(J16+J28+J41+J45+J50)*100</f>
        <v>8.4280386456406191</v>
      </c>
      <c r="L46" s="202">
        <f t="shared" si="2"/>
        <v>136.21262458471762</v>
      </c>
    </row>
    <row r="47" spans="2:12" ht="23.1" customHeight="1" x14ac:dyDescent="0.25">
      <c r="B47" s="202" t="s">
        <v>787</v>
      </c>
      <c r="C47" s="83" t="s">
        <v>1146</v>
      </c>
      <c r="D47" s="200">
        <v>130</v>
      </c>
      <c r="E47" s="200">
        <v>53</v>
      </c>
      <c r="F47" s="200">
        <f>D47+E47</f>
        <v>183</v>
      </c>
      <c r="G47" s="187">
        <f>F47/(F16+F28+F41+F45+F50)*100</f>
        <v>0.60807443096859948</v>
      </c>
      <c r="H47" s="200">
        <v>120</v>
      </c>
      <c r="I47" s="200">
        <v>87</v>
      </c>
      <c r="J47" s="200">
        <f t="shared" ref="J47:J48" si="8">H47+I47</f>
        <v>207</v>
      </c>
      <c r="K47" s="187">
        <f>J47/(J16+J28+J41+J45+J50)*100</f>
        <v>0.60787595806536865</v>
      </c>
      <c r="L47" s="202">
        <f t="shared" si="2"/>
        <v>113.11475409836065</v>
      </c>
    </row>
    <row r="48" spans="2:12" ht="23.1" customHeight="1" x14ac:dyDescent="0.25">
      <c r="B48" s="202" t="s">
        <v>788</v>
      </c>
      <c r="C48" s="83" t="s">
        <v>1147</v>
      </c>
      <c r="D48" s="200">
        <v>26</v>
      </c>
      <c r="E48" s="200">
        <v>0</v>
      </c>
      <c r="F48" s="200">
        <f>D48+E48</f>
        <v>26</v>
      </c>
      <c r="G48" s="187">
        <f>F48/(F16+F28+F41+F45+F50)*100</f>
        <v>8.6393088552915762E-2</v>
      </c>
      <c r="H48" s="200">
        <v>2</v>
      </c>
      <c r="I48" s="200">
        <v>0</v>
      </c>
      <c r="J48" s="200">
        <f t="shared" si="8"/>
        <v>2</v>
      </c>
      <c r="K48" s="187">
        <f>J48/(J16+J28+J41+J45+J50)*100</f>
        <v>5.8731976624673303E-3</v>
      </c>
      <c r="L48" s="202">
        <f t="shared" si="2"/>
        <v>7.6923076923076925</v>
      </c>
    </row>
    <row r="49" spans="2:12" ht="35.25" customHeight="1" x14ac:dyDescent="0.25">
      <c r="B49" s="225" t="s">
        <v>255</v>
      </c>
      <c r="C49" s="257" t="s">
        <v>1148</v>
      </c>
      <c r="D49" s="372">
        <f>D21+D24-D28+D37-D41-D45</f>
        <v>4959</v>
      </c>
      <c r="E49" s="372">
        <f>E21+E24-E28+E37-E41-E45</f>
        <v>1913</v>
      </c>
      <c r="F49" s="372">
        <f>F21+F24-F28+F37-F41-F45</f>
        <v>6872</v>
      </c>
      <c r="G49" s="250"/>
      <c r="H49" s="372">
        <f>H21+H24-H28+H37-H41-H45</f>
        <v>4360</v>
      </c>
      <c r="I49" s="372">
        <f>I21+I24-I28+I37-I41-I45</f>
        <v>2684</v>
      </c>
      <c r="J49" s="372">
        <f>J21+J24-J28+J37-J41-J45</f>
        <v>7044</v>
      </c>
      <c r="K49" s="250"/>
      <c r="L49" s="225">
        <f t="shared" si="2"/>
        <v>102.50291036088474</v>
      </c>
    </row>
    <row r="50" spans="2:12" ht="23.1" customHeight="1" x14ac:dyDescent="0.25">
      <c r="B50" s="202" t="s">
        <v>256</v>
      </c>
      <c r="C50" s="83" t="s">
        <v>1149</v>
      </c>
      <c r="D50" s="200">
        <v>394</v>
      </c>
      <c r="E50" s="200">
        <v>238</v>
      </c>
      <c r="F50" s="200">
        <f>D50+E50</f>
        <v>632</v>
      </c>
      <c r="G50" s="187">
        <f>F50/(F16+F28+F41+F45+F50)*100</f>
        <v>2.100016614055491</v>
      </c>
      <c r="H50" s="200">
        <v>375</v>
      </c>
      <c r="I50" s="200">
        <v>272</v>
      </c>
      <c r="J50" s="200">
        <f>H50+I50</f>
        <v>647</v>
      </c>
      <c r="K50" s="187">
        <f>J50/(J16+J28+J41+J45+J50)*100</f>
        <v>1.8999794438081814</v>
      </c>
      <c r="L50" s="202">
        <f t="shared" si="2"/>
        <v>102.37341772151898</v>
      </c>
    </row>
    <row r="51" spans="2:12" ht="30" customHeight="1" x14ac:dyDescent="0.25">
      <c r="B51" s="190" t="s">
        <v>257</v>
      </c>
      <c r="C51" s="354" t="s">
        <v>1150</v>
      </c>
      <c r="D51" s="157">
        <f>D49-D50</f>
        <v>4565</v>
      </c>
      <c r="E51" s="157">
        <f>E49-E50</f>
        <v>1675</v>
      </c>
      <c r="F51" s="157">
        <f>F49-F50</f>
        <v>6240</v>
      </c>
      <c r="G51" s="373"/>
      <c r="H51" s="157">
        <f>H49-H50</f>
        <v>3985</v>
      </c>
      <c r="I51" s="157">
        <f>I49-I50</f>
        <v>2412</v>
      </c>
      <c r="J51" s="157">
        <f>J49-J50</f>
        <v>6397</v>
      </c>
      <c r="K51" s="373"/>
      <c r="L51" s="190">
        <f t="shared" si="2"/>
        <v>102.51602564102565</v>
      </c>
    </row>
  </sheetData>
  <mergeCells count="5">
    <mergeCell ref="B5:B6"/>
    <mergeCell ref="C5:C6"/>
    <mergeCell ref="B4:L4"/>
    <mergeCell ref="D5:G5"/>
    <mergeCell ref="H5:K5"/>
  </mergeCells>
  <pageMargins left="0.7" right="0.7" top="0.75" bottom="0.75" header="0.3" footer="0.3"/>
  <ignoredErrors>
    <ignoredError sqref="F16 F28:F30 F41:F49 G9:J14 G28:J29 G41:J49 G30:J37 G16:J17 H15:J15 G19:J24 H18:J18" formula="1"/>
  </ignoredErrors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O11"/>
  <sheetViews>
    <sheetView workbookViewId="0"/>
  </sheetViews>
  <sheetFormatPr defaultColWidth="9.140625"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1.28515625" style="1" customWidth="1"/>
    <col min="8" max="8" width="12.57031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5" ht="16.5" thickBot="1" x14ac:dyDescent="0.3">
      <c r="B3" s="205"/>
      <c r="C3" s="205"/>
      <c r="D3" s="205"/>
      <c r="E3" s="205"/>
      <c r="F3" s="205"/>
      <c r="G3" s="205"/>
      <c r="K3" s="30"/>
      <c r="O3" s="174" t="s">
        <v>272</v>
      </c>
    </row>
    <row r="4" spans="2:15" ht="16.5" thickTop="1" x14ac:dyDescent="0.25">
      <c r="B4" s="485" t="s">
        <v>1361</v>
      </c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</row>
    <row r="5" spans="2:15" x14ac:dyDescent="0.25">
      <c r="B5" s="443" t="s">
        <v>100</v>
      </c>
      <c r="C5" s="443" t="s">
        <v>56</v>
      </c>
      <c r="D5" s="443" t="s">
        <v>608</v>
      </c>
      <c r="E5" s="443"/>
      <c r="F5" s="443"/>
      <c r="G5" s="443"/>
      <c r="H5" s="443"/>
      <c r="I5" s="443"/>
      <c r="J5" s="443" t="s">
        <v>609</v>
      </c>
      <c r="K5" s="443"/>
      <c r="L5" s="443"/>
      <c r="M5" s="443"/>
      <c r="N5" s="443"/>
      <c r="O5" s="443"/>
    </row>
    <row r="6" spans="2:15" x14ac:dyDescent="0.25">
      <c r="B6" s="443"/>
      <c r="C6" s="443"/>
      <c r="D6" s="443" t="s">
        <v>2</v>
      </c>
      <c r="E6" s="443"/>
      <c r="F6" s="443"/>
      <c r="G6" s="443" t="s">
        <v>451</v>
      </c>
      <c r="H6" s="443"/>
      <c r="I6" s="443"/>
      <c r="J6" s="443" t="s">
        <v>2</v>
      </c>
      <c r="K6" s="443"/>
      <c r="L6" s="443"/>
      <c r="M6" s="443" t="s">
        <v>451</v>
      </c>
      <c r="N6" s="443"/>
      <c r="O6" s="443"/>
    </row>
    <row r="7" spans="2:15" x14ac:dyDescent="0.25">
      <c r="B7" s="443"/>
      <c r="C7" s="443"/>
      <c r="D7" s="50" t="s">
        <v>157</v>
      </c>
      <c r="E7" s="50" t="s">
        <v>158</v>
      </c>
      <c r="F7" s="50" t="s">
        <v>18</v>
      </c>
      <c r="G7" s="50" t="s">
        <v>157</v>
      </c>
      <c r="H7" s="50" t="s">
        <v>158</v>
      </c>
      <c r="I7" s="50" t="s">
        <v>18</v>
      </c>
      <c r="J7" s="50" t="s">
        <v>157</v>
      </c>
      <c r="K7" s="50" t="s">
        <v>158</v>
      </c>
      <c r="L7" s="50" t="s">
        <v>18</v>
      </c>
      <c r="M7" s="50" t="s">
        <v>157</v>
      </c>
      <c r="N7" s="50" t="s">
        <v>158</v>
      </c>
      <c r="O7" s="50" t="s">
        <v>18</v>
      </c>
    </row>
    <row r="8" spans="2:15" x14ac:dyDescent="0.25">
      <c r="B8" s="48">
        <v>1</v>
      </c>
      <c r="C8" s="48">
        <v>2</v>
      </c>
      <c r="D8" s="48">
        <v>3</v>
      </c>
      <c r="E8" s="48">
        <v>4</v>
      </c>
      <c r="F8" s="48">
        <v>5</v>
      </c>
      <c r="G8" s="48">
        <v>6</v>
      </c>
      <c r="H8" s="48">
        <v>7</v>
      </c>
      <c r="I8" s="48">
        <v>8</v>
      </c>
      <c r="J8" s="48">
        <v>9</v>
      </c>
      <c r="K8" s="48">
        <v>10</v>
      </c>
      <c r="L8" s="48">
        <v>11</v>
      </c>
      <c r="M8" s="48">
        <v>12</v>
      </c>
      <c r="N8" s="48">
        <v>13</v>
      </c>
      <c r="O8" s="48">
        <v>14</v>
      </c>
    </row>
    <row r="9" spans="2:15" x14ac:dyDescent="0.25">
      <c r="B9" s="52" t="s">
        <v>247</v>
      </c>
      <c r="C9" s="57" t="s">
        <v>452</v>
      </c>
      <c r="D9" s="55">
        <f>843+134+822+118+61+2235+453</f>
        <v>4666</v>
      </c>
      <c r="E9" s="55">
        <f>2023+117+23</f>
        <v>2163</v>
      </c>
      <c r="F9" s="55">
        <f>D9+E9</f>
        <v>6829</v>
      </c>
      <c r="G9" s="54">
        <v>7</v>
      </c>
      <c r="H9" s="54">
        <v>3</v>
      </c>
      <c r="I9" s="54">
        <f>G9+H9</f>
        <v>10</v>
      </c>
      <c r="J9" s="55">
        <v>4103</v>
      </c>
      <c r="K9" s="55">
        <v>2449</v>
      </c>
      <c r="L9" s="55">
        <f>J9+K9</f>
        <v>6552</v>
      </c>
      <c r="M9" s="54">
        <v>7</v>
      </c>
      <c r="N9" s="54">
        <v>3</v>
      </c>
      <c r="O9" s="54">
        <f>M9+N9</f>
        <v>10</v>
      </c>
    </row>
    <row r="10" spans="2:15" x14ac:dyDescent="0.25">
      <c r="B10" s="52" t="s">
        <v>248</v>
      </c>
      <c r="C10" s="57" t="s">
        <v>453</v>
      </c>
      <c r="D10" s="54">
        <f>54+47</f>
        <v>101</v>
      </c>
      <c r="E10" s="55">
        <f>398+90</f>
        <v>488</v>
      </c>
      <c r="F10" s="55">
        <f>D10+E10</f>
        <v>589</v>
      </c>
      <c r="G10" s="54">
        <v>2</v>
      </c>
      <c r="H10" s="54">
        <v>2</v>
      </c>
      <c r="I10" s="54">
        <f>G10+H10</f>
        <v>4</v>
      </c>
      <c r="J10" s="54">
        <v>118</v>
      </c>
      <c r="K10" s="55">
        <v>37</v>
      </c>
      <c r="L10" s="55">
        <f>J10+K10</f>
        <v>155</v>
      </c>
      <c r="M10" s="54">
        <v>2</v>
      </c>
      <c r="N10" s="54">
        <v>1</v>
      </c>
      <c r="O10" s="54">
        <f>M10+N10</f>
        <v>3</v>
      </c>
    </row>
    <row r="11" spans="2:15" x14ac:dyDescent="0.25">
      <c r="B11" s="259"/>
      <c r="C11" s="259" t="s">
        <v>18</v>
      </c>
      <c r="D11" s="56">
        <f>D9-D10</f>
        <v>4565</v>
      </c>
      <c r="E11" s="56">
        <f>E9-E10</f>
        <v>1675</v>
      </c>
      <c r="F11" s="56">
        <f>F9-F10</f>
        <v>6240</v>
      </c>
      <c r="G11" s="260">
        <f>G9+G10</f>
        <v>9</v>
      </c>
      <c r="H11" s="260">
        <f t="shared" ref="H11:I11" si="0">H9+H10</f>
        <v>5</v>
      </c>
      <c r="I11" s="260">
        <f t="shared" si="0"/>
        <v>14</v>
      </c>
      <c r="J11" s="56">
        <f>J9-J10</f>
        <v>3985</v>
      </c>
      <c r="K11" s="56">
        <f>K9-K10</f>
        <v>2412</v>
      </c>
      <c r="L11" s="56">
        <f>L9-L10</f>
        <v>6397</v>
      </c>
      <c r="M11" s="260">
        <f>M9+M10</f>
        <v>9</v>
      </c>
      <c r="N11" s="260">
        <f t="shared" ref="N11:O11" si="1">N9+N10</f>
        <v>4</v>
      </c>
      <c r="O11" s="260">
        <f t="shared" si="1"/>
        <v>13</v>
      </c>
    </row>
  </sheetData>
  <mergeCells count="9">
    <mergeCell ref="M6:O6"/>
    <mergeCell ref="B4:O4"/>
    <mergeCell ref="B5:B7"/>
    <mergeCell ref="C5:C7"/>
    <mergeCell ref="D5:I5"/>
    <mergeCell ref="J5:O5"/>
    <mergeCell ref="D6:F6"/>
    <mergeCell ref="G6:I6"/>
    <mergeCell ref="J6:L6"/>
  </mergeCells>
  <pageMargins left="0.7" right="0.7" top="0.75" bottom="0.75" header="0.3" footer="0.3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3"/>
  <sheetViews>
    <sheetView workbookViewId="0"/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67"/>
      <c r="C3" s="67"/>
      <c r="D3" s="67"/>
      <c r="E3" s="67"/>
      <c r="F3" s="67"/>
      <c r="G3" s="67"/>
      <c r="J3" s="31"/>
      <c r="L3" s="355" t="s">
        <v>272</v>
      </c>
    </row>
    <row r="4" spans="2:12" ht="16.5" thickTop="1" x14ac:dyDescent="0.25">
      <c r="B4" s="477" t="s">
        <v>1362</v>
      </c>
      <c r="C4" s="477"/>
      <c r="D4" s="477"/>
      <c r="E4" s="477"/>
      <c r="F4" s="477"/>
      <c r="G4" s="477"/>
      <c r="H4" s="477"/>
      <c r="I4" s="477"/>
      <c r="J4" s="477"/>
      <c r="K4" s="477"/>
      <c r="L4" s="477"/>
    </row>
    <row r="5" spans="2:12" ht="15.75" x14ac:dyDescent="0.25">
      <c r="B5" s="443" t="s">
        <v>100</v>
      </c>
      <c r="C5" s="443" t="s">
        <v>124</v>
      </c>
      <c r="D5" s="448" t="s">
        <v>608</v>
      </c>
      <c r="E5" s="448"/>
      <c r="F5" s="448"/>
      <c r="G5" s="448"/>
      <c r="H5" s="448" t="s">
        <v>609</v>
      </c>
      <c r="I5" s="448"/>
      <c r="J5" s="448"/>
      <c r="K5" s="448"/>
      <c r="L5" s="170" t="s">
        <v>1</v>
      </c>
    </row>
    <row r="6" spans="2:12" ht="15.75" x14ac:dyDescent="0.25">
      <c r="B6" s="443"/>
      <c r="C6" s="443"/>
      <c r="D6" s="448" t="s">
        <v>157</v>
      </c>
      <c r="E6" s="443" t="s">
        <v>158</v>
      </c>
      <c r="F6" s="443" t="s">
        <v>18</v>
      </c>
      <c r="G6" s="50" t="s">
        <v>393</v>
      </c>
      <c r="H6" s="448" t="s">
        <v>157</v>
      </c>
      <c r="I6" s="443" t="s">
        <v>158</v>
      </c>
      <c r="J6" s="443" t="s">
        <v>18</v>
      </c>
      <c r="K6" s="50" t="s">
        <v>393</v>
      </c>
      <c r="L6" s="443" t="s">
        <v>370</v>
      </c>
    </row>
    <row r="7" spans="2:12" ht="15.75" x14ac:dyDescent="0.25">
      <c r="B7" s="443"/>
      <c r="C7" s="443"/>
      <c r="D7" s="448"/>
      <c r="E7" s="443"/>
      <c r="F7" s="443"/>
      <c r="G7" s="50" t="s">
        <v>32</v>
      </c>
      <c r="H7" s="448"/>
      <c r="I7" s="443"/>
      <c r="J7" s="443"/>
      <c r="K7" s="50" t="s">
        <v>32</v>
      </c>
      <c r="L7" s="443"/>
    </row>
    <row r="8" spans="2:12" x14ac:dyDescent="0.25">
      <c r="B8" s="48">
        <v>1</v>
      </c>
      <c r="C8" s="104">
        <v>2</v>
      </c>
      <c r="D8" s="104">
        <v>3</v>
      </c>
      <c r="E8" s="104">
        <v>4</v>
      </c>
      <c r="F8" s="48" t="s">
        <v>154</v>
      </c>
      <c r="G8" s="48">
        <v>6</v>
      </c>
      <c r="H8" s="104">
        <v>7</v>
      </c>
      <c r="I8" s="104">
        <v>8</v>
      </c>
      <c r="J8" s="48" t="s">
        <v>159</v>
      </c>
      <c r="K8" s="48">
        <v>10</v>
      </c>
      <c r="L8" s="104">
        <v>11</v>
      </c>
    </row>
    <row r="9" spans="2:12" ht="15.75" x14ac:dyDescent="0.25">
      <c r="B9" s="140" t="s">
        <v>247</v>
      </c>
      <c r="C9" s="216" t="s">
        <v>394</v>
      </c>
      <c r="D9" s="197"/>
      <c r="E9" s="87"/>
      <c r="F9" s="52"/>
      <c r="G9" s="52"/>
      <c r="H9" s="87"/>
      <c r="I9" s="87"/>
      <c r="J9" s="52"/>
      <c r="K9" s="52"/>
      <c r="L9" s="87"/>
    </row>
    <row r="10" spans="2:12" ht="31.5" x14ac:dyDescent="0.25">
      <c r="B10" s="52" t="s">
        <v>58</v>
      </c>
      <c r="C10" s="53" t="s">
        <v>395</v>
      </c>
      <c r="D10" s="195">
        <v>0</v>
      </c>
      <c r="E10" s="195">
        <v>2</v>
      </c>
      <c r="F10" s="55">
        <f>D10+E10</f>
        <v>2</v>
      </c>
      <c r="G10" s="60">
        <f>F10/F$23*100</f>
        <v>5.5043346635475438E-3</v>
      </c>
      <c r="H10" s="195">
        <v>4</v>
      </c>
      <c r="I10" s="195">
        <v>0</v>
      </c>
      <c r="J10" s="55">
        <f>H10+I10</f>
        <v>4</v>
      </c>
      <c r="K10" s="60">
        <f>J10/J$23*100</f>
        <v>9.8887515451174281E-3</v>
      </c>
      <c r="L10" s="217">
        <f t="shared" ref="L10:L23" si="0">J10/F10*100</f>
        <v>200</v>
      </c>
    </row>
    <row r="11" spans="2:12" ht="15.75" x14ac:dyDescent="0.25">
      <c r="B11" s="52" t="s">
        <v>88</v>
      </c>
      <c r="C11" s="199" t="s">
        <v>396</v>
      </c>
      <c r="D11" s="195">
        <v>0</v>
      </c>
      <c r="E11" s="195">
        <v>0</v>
      </c>
      <c r="F11" s="55">
        <f t="shared" ref="F11:F15" si="1">D11+E11</f>
        <v>0</v>
      </c>
      <c r="G11" s="60">
        <f t="shared" ref="G11:G22" si="2">F11/F$23*100</f>
        <v>0</v>
      </c>
      <c r="H11" s="195">
        <v>4</v>
      </c>
      <c r="I11" s="195">
        <v>2</v>
      </c>
      <c r="J11" s="55">
        <f t="shared" ref="J11:J15" si="3">H11+I11</f>
        <v>6</v>
      </c>
      <c r="K11" s="60">
        <f t="shared" ref="K11:K15" si="4">J11/J$23*100</f>
        <v>1.4833127317676144E-2</v>
      </c>
      <c r="L11" s="217" t="s">
        <v>80</v>
      </c>
    </row>
    <row r="12" spans="2:12" ht="15.75" x14ac:dyDescent="0.25">
      <c r="B12" s="52" t="s">
        <v>274</v>
      </c>
      <c r="C12" s="199" t="s">
        <v>397</v>
      </c>
      <c r="D12" s="195">
        <v>22459</v>
      </c>
      <c r="E12" s="195">
        <v>8615</v>
      </c>
      <c r="F12" s="55">
        <f t="shared" si="1"/>
        <v>31074</v>
      </c>
      <c r="G12" s="60">
        <f t="shared" si="2"/>
        <v>85.520847667538192</v>
      </c>
      <c r="H12" s="195">
        <v>24117</v>
      </c>
      <c r="I12" s="195">
        <v>10674</v>
      </c>
      <c r="J12" s="55">
        <f t="shared" si="3"/>
        <v>34791</v>
      </c>
      <c r="K12" s="60">
        <f t="shared" si="4"/>
        <v>86.00988875154512</v>
      </c>
      <c r="L12" s="217">
        <f t="shared" si="0"/>
        <v>111.96176868121259</v>
      </c>
    </row>
    <row r="13" spans="2:12" ht="15.75" x14ac:dyDescent="0.25">
      <c r="B13" s="52" t="s">
        <v>275</v>
      </c>
      <c r="C13" s="199" t="s">
        <v>222</v>
      </c>
      <c r="D13" s="195">
        <v>1756</v>
      </c>
      <c r="E13" s="195">
        <v>391</v>
      </c>
      <c r="F13" s="55">
        <f t="shared" si="1"/>
        <v>2147</v>
      </c>
      <c r="G13" s="60">
        <f t="shared" si="2"/>
        <v>5.9089032613182884</v>
      </c>
      <c r="H13" s="195">
        <v>2016</v>
      </c>
      <c r="I13" s="195">
        <v>473</v>
      </c>
      <c r="J13" s="55">
        <f t="shared" si="3"/>
        <v>2489</v>
      </c>
      <c r="K13" s="60">
        <f>J13/J$23*100</f>
        <v>6.1532756489493208</v>
      </c>
      <c r="L13" s="217">
        <f t="shared" si="0"/>
        <v>115.92920353982301</v>
      </c>
    </row>
    <row r="14" spans="2:12" ht="15.75" x14ac:dyDescent="0.25">
      <c r="B14" s="52" t="s">
        <v>276</v>
      </c>
      <c r="C14" s="199" t="s">
        <v>398</v>
      </c>
      <c r="D14" s="195">
        <v>213</v>
      </c>
      <c r="E14" s="195">
        <v>77</v>
      </c>
      <c r="F14" s="55">
        <f t="shared" si="1"/>
        <v>290</v>
      </c>
      <c r="G14" s="60">
        <f>F14/F$23*100</f>
        <v>0.79812852621439379</v>
      </c>
      <c r="H14" s="195">
        <v>241</v>
      </c>
      <c r="I14" s="195">
        <v>94</v>
      </c>
      <c r="J14" s="55">
        <f t="shared" si="3"/>
        <v>335</v>
      </c>
      <c r="K14" s="60">
        <f t="shared" si="4"/>
        <v>0.82818294190358466</v>
      </c>
      <c r="L14" s="217">
        <f t="shared" si="0"/>
        <v>115.51724137931035</v>
      </c>
    </row>
    <row r="15" spans="2:12" ht="15.75" x14ac:dyDescent="0.25">
      <c r="B15" s="52" t="s">
        <v>399</v>
      </c>
      <c r="C15" s="199" t="s">
        <v>400</v>
      </c>
      <c r="D15" s="195">
        <v>279</v>
      </c>
      <c r="E15" s="195">
        <v>29</v>
      </c>
      <c r="F15" s="55">
        <f t="shared" si="1"/>
        <v>308</v>
      </c>
      <c r="G15" s="60">
        <f>F15/F$23*100</f>
        <v>0.84766753818632179</v>
      </c>
      <c r="H15" s="195">
        <v>258</v>
      </c>
      <c r="I15" s="195">
        <v>41</v>
      </c>
      <c r="J15" s="55">
        <f t="shared" si="3"/>
        <v>299</v>
      </c>
      <c r="K15" s="60">
        <f t="shared" si="4"/>
        <v>0.73918417799752789</v>
      </c>
      <c r="L15" s="217">
        <f t="shared" si="0"/>
        <v>97.077922077922068</v>
      </c>
    </row>
    <row r="16" spans="2:12" ht="15.75" x14ac:dyDescent="0.25">
      <c r="B16" s="218"/>
      <c r="C16" s="219" t="s">
        <v>373</v>
      </c>
      <c r="D16" s="204">
        <f>SUM(D10:D15)</f>
        <v>24707</v>
      </c>
      <c r="E16" s="204">
        <f>SUM(E10:E15)</f>
        <v>9114</v>
      </c>
      <c r="F16" s="204">
        <f>SUM(F10:F15)</f>
        <v>33821</v>
      </c>
      <c r="G16" s="220">
        <f t="shared" si="2"/>
        <v>93.081051327920733</v>
      </c>
      <c r="H16" s="204">
        <f>SUM(H10:H15)</f>
        <v>26640</v>
      </c>
      <c r="I16" s="204">
        <f>SUM(I10:I15)</f>
        <v>11284</v>
      </c>
      <c r="J16" s="56">
        <f>SUM(J10:J15)</f>
        <v>37924</v>
      </c>
      <c r="K16" s="220">
        <f>J16/J23*100</f>
        <v>93.755253399258336</v>
      </c>
      <c r="L16" s="203">
        <f t="shared" si="0"/>
        <v>112.13151592206026</v>
      </c>
    </row>
    <row r="17" spans="2:12" ht="15.75" x14ac:dyDescent="0.25">
      <c r="B17" s="140" t="s">
        <v>248</v>
      </c>
      <c r="C17" s="216" t="s">
        <v>197</v>
      </c>
      <c r="D17" s="197"/>
      <c r="E17" s="197"/>
      <c r="F17" s="54"/>
      <c r="G17" s="60"/>
      <c r="H17" s="197"/>
      <c r="I17" s="197"/>
      <c r="J17" s="54"/>
      <c r="K17" s="60"/>
      <c r="L17" s="217"/>
    </row>
    <row r="18" spans="2:12" ht="15.75" x14ac:dyDescent="0.25">
      <c r="B18" s="52" t="s">
        <v>277</v>
      </c>
      <c r="C18" s="199" t="s">
        <v>363</v>
      </c>
      <c r="D18" s="197">
        <v>67</v>
      </c>
      <c r="E18" s="197">
        <v>0</v>
      </c>
      <c r="F18" s="55">
        <f>D18+E18</f>
        <v>67</v>
      </c>
      <c r="G18" s="60">
        <f t="shared" si="2"/>
        <v>0.1843952112288427</v>
      </c>
      <c r="H18" s="197">
        <v>71</v>
      </c>
      <c r="I18" s="197">
        <v>0</v>
      </c>
      <c r="J18" s="55">
        <f>H18+I18</f>
        <v>71</v>
      </c>
      <c r="K18" s="60">
        <f>J18/J$23*100</f>
        <v>0.17552533992583436</v>
      </c>
      <c r="L18" s="217">
        <f t="shared" si="0"/>
        <v>105.97014925373134</v>
      </c>
    </row>
    <row r="19" spans="2:12" ht="15.75" x14ac:dyDescent="0.25">
      <c r="B19" s="52" t="s">
        <v>278</v>
      </c>
      <c r="C19" s="199" t="s">
        <v>401</v>
      </c>
      <c r="D19" s="195">
        <v>1633</v>
      </c>
      <c r="E19" s="195">
        <v>370</v>
      </c>
      <c r="F19" s="55">
        <f t="shared" ref="F19:F20" si="5">D19+E19</f>
        <v>2003</v>
      </c>
      <c r="G19" s="60">
        <f t="shared" si="2"/>
        <v>5.5125911655428652</v>
      </c>
      <c r="H19" s="195">
        <v>1560</v>
      </c>
      <c r="I19" s="197">
        <v>256</v>
      </c>
      <c r="J19" s="55">
        <f t="shared" ref="J19:J20" si="6">H19+I19</f>
        <v>1816</v>
      </c>
      <c r="K19" s="60">
        <f>J19/J$23*100</f>
        <v>4.4894932014833122</v>
      </c>
      <c r="L19" s="217">
        <f t="shared" si="0"/>
        <v>90.664003994008993</v>
      </c>
    </row>
    <row r="20" spans="2:12" ht="15.75" x14ac:dyDescent="0.25">
      <c r="B20" s="52" t="s">
        <v>279</v>
      </c>
      <c r="C20" s="199" t="s">
        <v>402</v>
      </c>
      <c r="D20" s="197">
        <v>3</v>
      </c>
      <c r="E20" s="197">
        <v>1</v>
      </c>
      <c r="F20" s="55">
        <f t="shared" si="5"/>
        <v>4</v>
      </c>
      <c r="G20" s="60">
        <f t="shared" si="2"/>
        <v>1.1008669327095088E-2</v>
      </c>
      <c r="H20" s="197">
        <v>1</v>
      </c>
      <c r="I20" s="197">
        <v>0</v>
      </c>
      <c r="J20" s="55">
        <f t="shared" si="6"/>
        <v>1</v>
      </c>
      <c r="K20" s="60">
        <f t="shared" ref="K20:K22" si="7">J20/J$23*100</f>
        <v>2.472187886279357E-3</v>
      </c>
      <c r="L20" s="217">
        <f t="shared" si="0"/>
        <v>25</v>
      </c>
    </row>
    <row r="21" spans="2:12" ht="15.75" x14ac:dyDescent="0.25">
      <c r="B21" s="218"/>
      <c r="C21" s="219" t="s">
        <v>374</v>
      </c>
      <c r="D21" s="204">
        <f>SUM(D18:D20)</f>
        <v>1703</v>
      </c>
      <c r="E21" s="204">
        <f t="shared" ref="E21:F21" si="8">SUM(E18:E20)</f>
        <v>371</v>
      </c>
      <c r="F21" s="204">
        <f t="shared" si="8"/>
        <v>2074</v>
      </c>
      <c r="G21" s="220">
        <f t="shared" si="2"/>
        <v>5.7079950460988034</v>
      </c>
      <c r="H21" s="204">
        <f>SUM(H18:H20)</f>
        <v>1632</v>
      </c>
      <c r="I21" s="204">
        <f>SUM(I18:I20)</f>
        <v>256</v>
      </c>
      <c r="J21" s="56">
        <f>SUM(J18:J20)</f>
        <v>1888</v>
      </c>
      <c r="K21" s="220">
        <f t="shared" si="7"/>
        <v>4.6674907292954266</v>
      </c>
      <c r="L21" s="203">
        <f t="shared" si="0"/>
        <v>91.031822565091616</v>
      </c>
    </row>
    <row r="22" spans="2:12" ht="15.75" x14ac:dyDescent="0.25">
      <c r="B22" s="140" t="s">
        <v>249</v>
      </c>
      <c r="C22" s="216" t="s">
        <v>317</v>
      </c>
      <c r="D22" s="224">
        <v>362</v>
      </c>
      <c r="E22" s="224">
        <v>78</v>
      </c>
      <c r="F22" s="169">
        <f>D22+E22</f>
        <v>440</v>
      </c>
      <c r="G22" s="222">
        <f t="shared" si="2"/>
        <v>1.2109536259804596</v>
      </c>
      <c r="H22" s="224">
        <v>397</v>
      </c>
      <c r="I22" s="208">
        <v>241</v>
      </c>
      <c r="J22" s="169">
        <f>H22+I22</f>
        <v>638</v>
      </c>
      <c r="K22" s="222">
        <f t="shared" si="7"/>
        <v>1.5772558714462301</v>
      </c>
      <c r="L22" s="223">
        <f t="shared" si="0"/>
        <v>145</v>
      </c>
    </row>
    <row r="23" spans="2:12" ht="15.75" x14ac:dyDescent="0.25">
      <c r="B23" s="50"/>
      <c r="C23" s="219" t="s">
        <v>403</v>
      </c>
      <c r="D23" s="204">
        <f>D16+D21+D22</f>
        <v>26772</v>
      </c>
      <c r="E23" s="204">
        <f t="shared" ref="E23:J23" si="9">E16+E21+E22</f>
        <v>9563</v>
      </c>
      <c r="F23" s="204">
        <f t="shared" si="9"/>
        <v>36335</v>
      </c>
      <c r="G23" s="203">
        <f t="shared" si="9"/>
        <v>100</v>
      </c>
      <c r="H23" s="204">
        <f t="shared" si="9"/>
        <v>28669</v>
      </c>
      <c r="I23" s="204">
        <f t="shared" si="9"/>
        <v>11781</v>
      </c>
      <c r="J23" s="204">
        <f t="shared" si="9"/>
        <v>40450</v>
      </c>
      <c r="K23" s="185">
        <f>K16+K21+K22</f>
        <v>99.999999999999986</v>
      </c>
      <c r="L23" s="203">
        <f t="shared" si="0"/>
        <v>111.32516857024908</v>
      </c>
    </row>
  </sheetData>
  <mergeCells count="12"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  <mergeCell ref="J6:J7"/>
    <mergeCell ref="L6:L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M25"/>
  <sheetViews>
    <sheetView workbookViewId="0"/>
  </sheetViews>
  <sheetFormatPr defaultRowHeight="15" x14ac:dyDescent="0.25"/>
  <cols>
    <col min="2" max="2" width="7" customWidth="1"/>
    <col min="3" max="3" width="41.285156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style="13" customWidth="1"/>
  </cols>
  <sheetData>
    <row r="3" spans="2:13" ht="16.5" thickBot="1" x14ac:dyDescent="0.3">
      <c r="B3" s="75"/>
      <c r="C3" s="76" t="s">
        <v>55</v>
      </c>
      <c r="D3" s="77"/>
      <c r="E3" s="77"/>
      <c r="F3" s="77"/>
      <c r="G3" s="77"/>
      <c r="H3" s="77"/>
      <c r="I3" s="77"/>
      <c r="J3" s="77"/>
      <c r="K3" s="77"/>
      <c r="L3" s="78" t="s">
        <v>271</v>
      </c>
      <c r="M3" s="12"/>
    </row>
    <row r="4" spans="2:13" ht="16.5" thickTop="1" x14ac:dyDescent="0.25">
      <c r="B4" s="462" t="s">
        <v>1363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</row>
    <row r="5" spans="2:13" ht="15.75" x14ac:dyDescent="0.25">
      <c r="B5" s="443" t="s">
        <v>100</v>
      </c>
      <c r="C5" s="443" t="s">
        <v>131</v>
      </c>
      <c r="D5" s="448" t="s">
        <v>608</v>
      </c>
      <c r="E5" s="448"/>
      <c r="F5" s="448"/>
      <c r="G5" s="448"/>
      <c r="H5" s="448" t="s">
        <v>609</v>
      </c>
      <c r="I5" s="448"/>
      <c r="J5" s="448"/>
      <c r="K5" s="448"/>
      <c r="L5" s="170" t="s">
        <v>1</v>
      </c>
    </row>
    <row r="6" spans="2:13" ht="15.75" x14ac:dyDescent="0.25">
      <c r="B6" s="443"/>
      <c r="C6" s="443"/>
      <c r="D6" s="448" t="s">
        <v>157</v>
      </c>
      <c r="E6" s="443" t="s">
        <v>158</v>
      </c>
      <c r="F6" s="443" t="s">
        <v>18</v>
      </c>
      <c r="G6" s="50" t="s">
        <v>393</v>
      </c>
      <c r="H6" s="448" t="s">
        <v>157</v>
      </c>
      <c r="I6" s="443" t="s">
        <v>158</v>
      </c>
      <c r="J6" s="443" t="s">
        <v>18</v>
      </c>
      <c r="K6" s="50" t="s">
        <v>393</v>
      </c>
      <c r="L6" s="443" t="s">
        <v>370</v>
      </c>
    </row>
    <row r="7" spans="2:13" ht="15.75" x14ac:dyDescent="0.25">
      <c r="B7" s="443"/>
      <c r="C7" s="443"/>
      <c r="D7" s="448"/>
      <c r="E7" s="443"/>
      <c r="F7" s="443"/>
      <c r="G7" s="50" t="s">
        <v>32</v>
      </c>
      <c r="H7" s="448"/>
      <c r="I7" s="443"/>
      <c r="J7" s="443"/>
      <c r="K7" s="50" t="s">
        <v>32</v>
      </c>
      <c r="L7" s="443"/>
    </row>
    <row r="8" spans="2:13" x14ac:dyDescent="0.25">
      <c r="B8" s="48">
        <v>1</v>
      </c>
      <c r="C8" s="104">
        <v>2</v>
      </c>
      <c r="D8" s="104">
        <v>3</v>
      </c>
      <c r="E8" s="104">
        <v>4</v>
      </c>
      <c r="F8" s="48" t="s">
        <v>154</v>
      </c>
      <c r="G8" s="48">
        <v>6</v>
      </c>
      <c r="H8" s="104">
        <v>7</v>
      </c>
      <c r="I8" s="104">
        <v>8</v>
      </c>
      <c r="J8" s="48" t="s">
        <v>159</v>
      </c>
      <c r="K8" s="48">
        <v>10</v>
      </c>
      <c r="L8" s="104">
        <v>11</v>
      </c>
    </row>
    <row r="9" spans="2:13" ht="15.75" x14ac:dyDescent="0.25">
      <c r="B9" s="140" t="s">
        <v>247</v>
      </c>
      <c r="C9" s="216" t="s">
        <v>404</v>
      </c>
      <c r="D9" s="197"/>
      <c r="E9" s="87"/>
      <c r="F9" s="52"/>
      <c r="G9" s="52"/>
      <c r="H9" s="87"/>
      <c r="I9" s="87"/>
      <c r="J9" s="52"/>
      <c r="K9" s="52"/>
      <c r="L9" s="87"/>
    </row>
    <row r="10" spans="2:13" ht="15.75" x14ac:dyDescent="0.25">
      <c r="B10" s="52" t="s">
        <v>58</v>
      </c>
      <c r="C10" s="199" t="s">
        <v>221</v>
      </c>
      <c r="D10" s="195">
        <v>2365</v>
      </c>
      <c r="E10" s="195">
        <v>1463</v>
      </c>
      <c r="F10" s="55">
        <f>D10+E10</f>
        <v>3828</v>
      </c>
      <c r="G10" s="60">
        <f>F10/F$25*100</f>
        <v>12.719720883867753</v>
      </c>
      <c r="H10" s="195">
        <v>2942</v>
      </c>
      <c r="I10" s="195">
        <v>2139</v>
      </c>
      <c r="J10" s="55">
        <f>H10+I10</f>
        <v>5081</v>
      </c>
      <c r="K10" s="60">
        <f>J10/J$25*100</f>
        <v>14.920858661498251</v>
      </c>
      <c r="L10" s="202">
        <f>J10/F10*100</f>
        <v>132.73249738766981</v>
      </c>
    </row>
    <row r="11" spans="2:13" ht="15.75" x14ac:dyDescent="0.25">
      <c r="B11" s="52" t="s">
        <v>88</v>
      </c>
      <c r="C11" s="199" t="s">
        <v>405</v>
      </c>
      <c r="D11" s="195">
        <v>175</v>
      </c>
      <c r="E11" s="195">
        <v>108</v>
      </c>
      <c r="F11" s="55">
        <f t="shared" ref="F11:F13" si="0">D11+E11</f>
        <v>283</v>
      </c>
      <c r="G11" s="60">
        <f>F11/F$25*100</f>
        <v>0.94035554078750627</v>
      </c>
      <c r="H11" s="195">
        <v>202</v>
      </c>
      <c r="I11" s="195">
        <v>137</v>
      </c>
      <c r="J11" s="55">
        <f t="shared" ref="J11:J13" si="1">H11+I11</f>
        <v>339</v>
      </c>
      <c r="K11" s="60">
        <f t="shared" ref="K11:K13" si="2">J11/J$25*100</f>
        <v>0.99550700378821244</v>
      </c>
      <c r="L11" s="202">
        <f t="shared" ref="L11:L13" si="3">J11/F11*100</f>
        <v>119.78798586572439</v>
      </c>
    </row>
    <row r="12" spans="2:13" ht="15.75" x14ac:dyDescent="0.25">
      <c r="B12" s="52" t="s">
        <v>274</v>
      </c>
      <c r="C12" s="199" t="s">
        <v>398</v>
      </c>
      <c r="D12" s="195">
        <v>0</v>
      </c>
      <c r="E12" s="195">
        <v>0</v>
      </c>
      <c r="F12" s="55">
        <f t="shared" si="0"/>
        <v>0</v>
      </c>
      <c r="G12" s="60">
        <f t="shared" ref="G12" si="4">F12/F$25*100</f>
        <v>0</v>
      </c>
      <c r="H12" s="195">
        <v>0</v>
      </c>
      <c r="I12" s="195">
        <v>0</v>
      </c>
      <c r="J12" s="55">
        <f t="shared" si="1"/>
        <v>0</v>
      </c>
      <c r="K12" s="60">
        <f t="shared" si="2"/>
        <v>0</v>
      </c>
      <c r="L12" s="202" t="s">
        <v>80</v>
      </c>
    </row>
    <row r="13" spans="2:13" ht="15.75" x14ac:dyDescent="0.25">
      <c r="B13" s="52" t="s">
        <v>275</v>
      </c>
      <c r="C13" s="199" t="s">
        <v>406</v>
      </c>
      <c r="D13" s="195">
        <v>130</v>
      </c>
      <c r="E13" s="195">
        <v>29</v>
      </c>
      <c r="F13" s="55">
        <f t="shared" si="0"/>
        <v>159</v>
      </c>
      <c r="G13" s="60">
        <f>F13/F$25*100</f>
        <v>0.52832696461206186</v>
      </c>
      <c r="H13" s="195">
        <v>171</v>
      </c>
      <c r="I13" s="195">
        <v>30</v>
      </c>
      <c r="J13" s="55">
        <f t="shared" si="1"/>
        <v>201</v>
      </c>
      <c r="K13" s="60">
        <f t="shared" si="2"/>
        <v>0.59025636507796664</v>
      </c>
      <c r="L13" s="202">
        <f t="shared" si="3"/>
        <v>126.41509433962264</v>
      </c>
    </row>
    <row r="14" spans="2:13" ht="15.75" x14ac:dyDescent="0.25">
      <c r="B14" s="50"/>
      <c r="C14" s="219" t="s">
        <v>373</v>
      </c>
      <c r="D14" s="204">
        <f>SUM(D10:D13)</f>
        <v>2670</v>
      </c>
      <c r="E14" s="204">
        <f>SUM(E10:E13)</f>
        <v>1600</v>
      </c>
      <c r="F14" s="56">
        <f>SUM(F10:F13)</f>
        <v>4270</v>
      </c>
      <c r="G14" s="220">
        <f>F14/F$25*100</f>
        <v>14.18840338926732</v>
      </c>
      <c r="H14" s="204">
        <f>SUM(H10:H13)</f>
        <v>3315</v>
      </c>
      <c r="I14" s="204">
        <f>SUM(I10:I13)</f>
        <v>2306</v>
      </c>
      <c r="J14" s="56">
        <f>SUM(J10:J13)</f>
        <v>5621</v>
      </c>
      <c r="K14" s="220">
        <f>SUM(K10:K13)</f>
        <v>16.506622030364429</v>
      </c>
      <c r="L14" s="190">
        <f>J14/F14*100</f>
        <v>131.63934426229508</v>
      </c>
    </row>
    <row r="15" spans="2:13" ht="15.75" x14ac:dyDescent="0.25">
      <c r="B15" s="140" t="s">
        <v>248</v>
      </c>
      <c r="C15" s="216" t="s">
        <v>198</v>
      </c>
      <c r="D15" s="197"/>
      <c r="E15" s="197"/>
      <c r="F15" s="54"/>
      <c r="G15" s="60"/>
      <c r="H15" s="195"/>
      <c r="I15" s="195"/>
      <c r="J15" s="55"/>
      <c r="K15" s="60"/>
      <c r="L15" s="202"/>
    </row>
    <row r="16" spans="2:13" ht="15.75" x14ac:dyDescent="0.25">
      <c r="B16" s="52" t="s">
        <v>277</v>
      </c>
      <c r="C16" s="199" t="s">
        <v>132</v>
      </c>
      <c r="D16" s="195">
        <v>11098</v>
      </c>
      <c r="E16" s="195">
        <v>3182</v>
      </c>
      <c r="F16" s="55">
        <f>D16+E16</f>
        <v>14280</v>
      </c>
      <c r="G16" s="60">
        <f>F16/F$25*100</f>
        <v>47.449742482139889</v>
      </c>
      <c r="H16" s="195">
        <v>11989</v>
      </c>
      <c r="I16" s="195">
        <v>3069</v>
      </c>
      <c r="J16" s="55">
        <f>H16+I16</f>
        <v>15058</v>
      </c>
      <c r="K16" s="60">
        <f>J16/J$25*100</f>
        <v>44.219305200716533</v>
      </c>
      <c r="L16" s="202">
        <f>J16/F16*100</f>
        <v>105.44817927170868</v>
      </c>
    </row>
    <row r="17" spans="2:12" ht="15.75" x14ac:dyDescent="0.25">
      <c r="B17" s="52" t="s">
        <v>278</v>
      </c>
      <c r="C17" s="199" t="s">
        <v>407</v>
      </c>
      <c r="D17" s="195">
        <v>1225</v>
      </c>
      <c r="E17" s="195">
        <v>415</v>
      </c>
      <c r="F17" s="55">
        <f t="shared" ref="F17:F20" si="5">D17+E17</f>
        <v>1640</v>
      </c>
      <c r="G17" s="60">
        <f>F17/F$25*100</f>
        <v>5.4494102010300711</v>
      </c>
      <c r="H17" s="195">
        <v>1356</v>
      </c>
      <c r="I17" s="195">
        <v>425</v>
      </c>
      <c r="J17" s="55">
        <f t="shared" ref="J17:J20" si="6">H17+I17</f>
        <v>1781</v>
      </c>
      <c r="K17" s="60">
        <f t="shared" ref="K17:K19" si="7">J17/J$25*100</f>
        <v>5.2300825184271575</v>
      </c>
      <c r="L17" s="202">
        <f t="shared" ref="L17:L20" si="8">J17/F17*100</f>
        <v>108.59756097560975</v>
      </c>
    </row>
    <row r="18" spans="2:12" ht="15.75" x14ac:dyDescent="0.25">
      <c r="B18" s="52" t="s">
        <v>279</v>
      </c>
      <c r="C18" s="199" t="s">
        <v>408</v>
      </c>
      <c r="D18" s="195">
        <v>604</v>
      </c>
      <c r="E18" s="195">
        <v>149</v>
      </c>
      <c r="F18" s="55">
        <f t="shared" si="5"/>
        <v>753</v>
      </c>
      <c r="G18" s="60">
        <f t="shared" ref="G18:G24" si="9">F18/F$25*100</f>
        <v>2.502076756936368</v>
      </c>
      <c r="H18" s="195">
        <v>673</v>
      </c>
      <c r="I18" s="195">
        <v>148</v>
      </c>
      <c r="J18" s="55">
        <f t="shared" si="6"/>
        <v>821</v>
      </c>
      <c r="K18" s="60">
        <f>J18/J$25*100</f>
        <v>2.4109476404428389</v>
      </c>
      <c r="L18" s="202">
        <f t="shared" si="8"/>
        <v>109.03054448871181</v>
      </c>
    </row>
    <row r="19" spans="2:12" ht="15.75" x14ac:dyDescent="0.25">
      <c r="B19" s="52" t="s">
        <v>280</v>
      </c>
      <c r="C19" s="199" t="s">
        <v>409</v>
      </c>
      <c r="D19" s="195">
        <v>3765</v>
      </c>
      <c r="E19" s="195">
        <v>1130</v>
      </c>
      <c r="F19" s="55">
        <f t="shared" si="5"/>
        <v>4895</v>
      </c>
      <c r="G19" s="60">
        <f t="shared" si="9"/>
        <v>16.265160325635488</v>
      </c>
      <c r="H19" s="195">
        <v>4470</v>
      </c>
      <c r="I19" s="195">
        <v>1263</v>
      </c>
      <c r="J19" s="55">
        <f t="shared" si="6"/>
        <v>5733</v>
      </c>
      <c r="K19" s="60">
        <f t="shared" si="7"/>
        <v>16.835521099462603</v>
      </c>
      <c r="L19" s="202">
        <f t="shared" si="8"/>
        <v>117.11950970377936</v>
      </c>
    </row>
    <row r="20" spans="2:12" ht="15.75" x14ac:dyDescent="0.25">
      <c r="B20" s="52" t="s">
        <v>410</v>
      </c>
      <c r="C20" s="199" t="s">
        <v>411</v>
      </c>
      <c r="D20" s="195">
        <v>616</v>
      </c>
      <c r="E20" s="195">
        <v>380</v>
      </c>
      <c r="F20" s="55">
        <f t="shared" si="5"/>
        <v>996</v>
      </c>
      <c r="G20" s="60">
        <f t="shared" si="9"/>
        <v>3.3095198537963118</v>
      </c>
      <c r="H20" s="195">
        <v>901</v>
      </c>
      <c r="I20" s="195">
        <v>292</v>
      </c>
      <c r="J20" s="55">
        <f t="shared" si="6"/>
        <v>1193</v>
      </c>
      <c r="K20" s="60">
        <f>J20/J$25*100</f>
        <v>3.5033624056617625</v>
      </c>
      <c r="L20" s="202">
        <f t="shared" si="8"/>
        <v>119.77911646586345</v>
      </c>
    </row>
    <row r="21" spans="2:12" ht="15.75" x14ac:dyDescent="0.25">
      <c r="B21" s="50"/>
      <c r="C21" s="219" t="s">
        <v>374</v>
      </c>
      <c r="D21" s="204">
        <f>SUM(D16:D20)</f>
        <v>17308</v>
      </c>
      <c r="E21" s="204">
        <f>SUM(E16:E20)</f>
        <v>5256</v>
      </c>
      <c r="F21" s="56">
        <f>SUM(F16:F20)</f>
        <v>22564</v>
      </c>
      <c r="G21" s="220">
        <f t="shared" si="9"/>
        <v>74.975909619538129</v>
      </c>
      <c r="H21" s="204">
        <f>SUM(H16:H20)</f>
        <v>19389</v>
      </c>
      <c r="I21" s="204">
        <f>SUM(I16:I20)</f>
        <v>5197</v>
      </c>
      <c r="J21" s="56">
        <f>SUM(J16:J20)</f>
        <v>24586</v>
      </c>
      <c r="K21" s="220">
        <f>J21/J$25*100</f>
        <v>72.199218864710886</v>
      </c>
      <c r="L21" s="190">
        <f>J21/F21*100</f>
        <v>108.96117709625952</v>
      </c>
    </row>
    <row r="22" spans="2:12" ht="15.75" x14ac:dyDescent="0.25">
      <c r="B22" s="52" t="s">
        <v>249</v>
      </c>
      <c r="C22" s="199" t="s">
        <v>318</v>
      </c>
      <c r="D22" s="195">
        <v>179</v>
      </c>
      <c r="E22" s="195">
        <v>134</v>
      </c>
      <c r="F22" s="55">
        <f>D22+E22</f>
        <v>313</v>
      </c>
      <c r="G22" s="60">
        <f t="shared" si="9"/>
        <v>1.0400398737331782</v>
      </c>
      <c r="H22" s="195">
        <v>109</v>
      </c>
      <c r="I22" s="195">
        <v>11</v>
      </c>
      <c r="J22" s="55">
        <f>H22+I22</f>
        <v>120</v>
      </c>
      <c r="K22" s="60">
        <f>J22/J$25*100</f>
        <v>0.35239185974803983</v>
      </c>
      <c r="L22" s="202">
        <f>J22/F22*100</f>
        <v>38.338658146964853</v>
      </c>
    </row>
    <row r="23" spans="2:12" ht="15.75" x14ac:dyDescent="0.25">
      <c r="B23" s="52" t="s">
        <v>250</v>
      </c>
      <c r="C23" s="199" t="s">
        <v>412</v>
      </c>
      <c r="D23" s="195">
        <v>1656</v>
      </c>
      <c r="E23" s="195">
        <v>660</v>
      </c>
      <c r="F23" s="55">
        <f>D23+E23</f>
        <v>2316</v>
      </c>
      <c r="G23" s="60">
        <f t="shared" si="9"/>
        <v>7.6956305034058818</v>
      </c>
      <c r="H23" s="195">
        <v>1496</v>
      </c>
      <c r="I23" s="195">
        <v>1583</v>
      </c>
      <c r="J23" s="55">
        <f>H23+I23</f>
        <v>3079</v>
      </c>
      <c r="K23" s="60">
        <f>J23/J$25*100</f>
        <v>9.0417878013684554</v>
      </c>
      <c r="L23" s="202">
        <f>J23/F23*100</f>
        <v>132.94473229706389</v>
      </c>
    </row>
    <row r="24" spans="2:12" ht="15.75" x14ac:dyDescent="0.25">
      <c r="B24" s="52" t="s">
        <v>251</v>
      </c>
      <c r="C24" s="199" t="s">
        <v>413</v>
      </c>
      <c r="D24" s="195">
        <v>394</v>
      </c>
      <c r="E24" s="195">
        <v>238</v>
      </c>
      <c r="F24" s="55">
        <f>D24+E24</f>
        <v>632</v>
      </c>
      <c r="G24" s="60">
        <f t="shared" si="9"/>
        <v>2.100016614055491</v>
      </c>
      <c r="H24" s="195">
        <v>375</v>
      </c>
      <c r="I24" s="195">
        <v>272</v>
      </c>
      <c r="J24" s="55">
        <f>H24+I24</f>
        <v>647</v>
      </c>
      <c r="K24" s="60">
        <f>J24/J$25*100</f>
        <v>1.8999794438081814</v>
      </c>
      <c r="L24" s="202">
        <f>J24/F24*100</f>
        <v>102.37341772151898</v>
      </c>
    </row>
    <row r="25" spans="2:12" ht="15.75" x14ac:dyDescent="0.25">
      <c r="B25" s="50"/>
      <c r="C25" s="219" t="s">
        <v>414</v>
      </c>
      <c r="D25" s="204">
        <f t="shared" ref="D25:K25" si="10">D14+D21+D22+D23+D24</f>
        <v>22207</v>
      </c>
      <c r="E25" s="204">
        <f t="shared" si="10"/>
        <v>7888</v>
      </c>
      <c r="F25" s="56">
        <f t="shared" si="10"/>
        <v>30095</v>
      </c>
      <c r="G25" s="185">
        <f t="shared" si="10"/>
        <v>100</v>
      </c>
      <c r="H25" s="204">
        <f t="shared" si="10"/>
        <v>24684</v>
      </c>
      <c r="I25" s="204">
        <f t="shared" si="10"/>
        <v>9369</v>
      </c>
      <c r="J25" s="56">
        <f t="shared" si="10"/>
        <v>34053</v>
      </c>
      <c r="K25" s="185">
        <f t="shared" si="10"/>
        <v>99.999999999999986</v>
      </c>
      <c r="L25" s="190">
        <f>J25/F25*100</f>
        <v>113.15168632663233</v>
      </c>
    </row>
  </sheetData>
  <mergeCells count="12">
    <mergeCell ref="B5:B7"/>
    <mergeCell ref="C5:C7"/>
    <mergeCell ref="B4:L4"/>
    <mergeCell ref="D5:G5"/>
    <mergeCell ref="H5:K5"/>
    <mergeCell ref="D6:D7"/>
    <mergeCell ref="E6:E7"/>
    <mergeCell ref="F6:F7"/>
    <mergeCell ref="H6:H7"/>
    <mergeCell ref="I6:I7"/>
    <mergeCell ref="J6:J7"/>
    <mergeCell ref="L6:L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K11"/>
  <sheetViews>
    <sheetView workbookViewId="0">
      <selection activeCell="H19" sqref="H19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47.42578125" style="1" customWidth="1"/>
    <col min="4" max="4" width="23.5703125" style="1" customWidth="1"/>
    <col min="5" max="5" width="15.42578125" style="1" customWidth="1"/>
    <col min="6" max="6" width="15.7109375" style="1" customWidth="1"/>
    <col min="7" max="7" width="15" style="1" customWidth="1"/>
    <col min="8" max="8" width="18.7109375" style="1" customWidth="1"/>
    <col min="9" max="9" width="18.42578125" style="1" customWidth="1"/>
    <col min="10" max="10" width="15.28515625" style="1" customWidth="1"/>
    <col min="11" max="16384" width="13.42578125" style="1"/>
  </cols>
  <sheetData>
    <row r="3" spans="2:11" ht="20.25" customHeight="1" thickBot="1" x14ac:dyDescent="0.3">
      <c r="B3" s="205"/>
      <c r="C3" s="205"/>
      <c r="D3" s="205"/>
      <c r="E3" s="205"/>
      <c r="F3" s="205"/>
      <c r="G3" s="205"/>
      <c r="H3" s="255"/>
    </row>
    <row r="4" spans="2:11" ht="16.5" customHeight="1" thickTop="1" x14ac:dyDescent="0.25">
      <c r="B4" s="472" t="s">
        <v>1364</v>
      </c>
      <c r="C4" s="472"/>
      <c r="D4" s="472"/>
      <c r="E4" s="472"/>
      <c r="F4" s="472"/>
      <c r="G4" s="472"/>
      <c r="H4" s="472"/>
      <c r="I4" s="472"/>
      <c r="J4" s="472"/>
      <c r="K4" s="472"/>
    </row>
    <row r="5" spans="2:11" ht="73.5" customHeight="1" x14ac:dyDescent="0.25">
      <c r="B5" s="50" t="s">
        <v>100</v>
      </c>
      <c r="C5" s="50" t="s">
        <v>938</v>
      </c>
      <c r="D5" s="50" t="s">
        <v>628</v>
      </c>
      <c r="E5" s="50" t="s">
        <v>629</v>
      </c>
      <c r="F5" s="50" t="s">
        <v>13</v>
      </c>
      <c r="G5" s="50" t="s">
        <v>939</v>
      </c>
      <c r="H5" s="50" t="s">
        <v>1153</v>
      </c>
      <c r="I5" s="50" t="s">
        <v>1154</v>
      </c>
      <c r="J5" s="50" t="s">
        <v>941</v>
      </c>
      <c r="K5" s="50" t="s">
        <v>942</v>
      </c>
    </row>
    <row r="6" spans="2:11" ht="31.5" x14ac:dyDescent="0.25">
      <c r="B6" s="52" t="s">
        <v>247</v>
      </c>
      <c r="C6" s="53" t="s">
        <v>1155</v>
      </c>
      <c r="D6" s="374" t="s">
        <v>1156</v>
      </c>
      <c r="E6" s="52" t="s">
        <v>1402</v>
      </c>
      <c r="F6" s="52">
        <v>33</v>
      </c>
      <c r="G6" s="356">
        <v>231058</v>
      </c>
      <c r="H6" s="356">
        <v>150105</v>
      </c>
      <c r="I6" s="356">
        <v>75881</v>
      </c>
      <c r="J6" s="356">
        <v>1300</v>
      </c>
      <c r="K6" s="356">
        <v>32709</v>
      </c>
    </row>
    <row r="7" spans="2:11" ht="31.5" x14ac:dyDescent="0.25">
      <c r="B7" s="52" t="s">
        <v>248</v>
      </c>
      <c r="C7" s="53" t="s">
        <v>1157</v>
      </c>
      <c r="D7" s="347" t="s">
        <v>1158</v>
      </c>
      <c r="E7" s="52" t="s">
        <v>1159</v>
      </c>
      <c r="F7" s="52">
        <v>42</v>
      </c>
      <c r="G7" s="356">
        <v>150986</v>
      </c>
      <c r="H7" s="356">
        <v>134602</v>
      </c>
      <c r="I7" s="356">
        <v>10469</v>
      </c>
      <c r="J7" s="356">
        <v>430</v>
      </c>
      <c r="K7" s="356">
        <v>18558</v>
      </c>
    </row>
    <row r="8" spans="2:11" ht="31.5" x14ac:dyDescent="0.25">
      <c r="B8" s="52" t="s">
        <v>249</v>
      </c>
      <c r="C8" s="53" t="s">
        <v>1403</v>
      </c>
      <c r="D8" s="348" t="s">
        <v>1160</v>
      </c>
      <c r="E8" s="52" t="s">
        <v>1161</v>
      </c>
      <c r="F8" s="52">
        <v>10</v>
      </c>
      <c r="G8" s="356">
        <v>31952</v>
      </c>
      <c r="H8" s="356">
        <v>29410</v>
      </c>
      <c r="I8" s="356">
        <v>244</v>
      </c>
      <c r="J8" s="356">
        <v>-159</v>
      </c>
      <c r="K8" s="356">
        <v>3898</v>
      </c>
    </row>
    <row r="9" spans="2:11" x14ac:dyDescent="0.25">
      <c r="B9" s="52" t="s">
        <v>250</v>
      </c>
      <c r="C9" s="53" t="s">
        <v>1404</v>
      </c>
      <c r="D9" s="347" t="s">
        <v>1162</v>
      </c>
      <c r="E9" s="52" t="s">
        <v>1163</v>
      </c>
      <c r="F9" s="52">
        <v>27</v>
      </c>
      <c r="G9" s="356">
        <v>156556</v>
      </c>
      <c r="H9" s="356">
        <v>140268</v>
      </c>
      <c r="I9" s="356">
        <v>11995</v>
      </c>
      <c r="J9" s="356">
        <v>581</v>
      </c>
      <c r="K9" s="356">
        <v>20977</v>
      </c>
    </row>
    <row r="10" spans="2:11" ht="15.75" customHeight="1" x14ac:dyDescent="0.25">
      <c r="B10" s="443" t="s">
        <v>912</v>
      </c>
      <c r="C10" s="443"/>
      <c r="D10" s="443"/>
      <c r="E10" s="443"/>
      <c r="F10" s="59">
        <f t="shared" ref="F10:K10" si="0">SUM(F6:F9)</f>
        <v>112</v>
      </c>
      <c r="G10" s="56">
        <f t="shared" si="0"/>
        <v>570552</v>
      </c>
      <c r="H10" s="56">
        <f t="shared" si="0"/>
        <v>454385</v>
      </c>
      <c r="I10" s="56">
        <f t="shared" si="0"/>
        <v>98589</v>
      </c>
      <c r="J10" s="56">
        <f t="shared" si="0"/>
        <v>2152</v>
      </c>
      <c r="K10" s="56">
        <f t="shared" si="0"/>
        <v>76142</v>
      </c>
    </row>
    <row r="11" spans="2:11" x14ac:dyDescent="0.25">
      <c r="B11" s="375" t="s">
        <v>1164</v>
      </c>
      <c r="D11" s="40"/>
      <c r="F11" s="40"/>
    </row>
  </sheetData>
  <mergeCells count="2">
    <mergeCell ref="B10:E10"/>
    <mergeCell ref="B4:K4"/>
  </mergeCells>
  <hyperlinks>
    <hyperlink ref="D6" r:id="rId1" xr:uid="{2F443B7F-5C90-4439-8D58-475886732A3B}"/>
  </hyperlinks>
  <pageMargins left="0.7" right="0.7" top="0.75" bottom="0.75" header="0.3" footer="0.3"/>
  <pageSetup orientation="portrait" r:id="rId2"/>
  <drawing r:id="rId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0265-BE68-4EFA-917B-FCB1D4E2EC28}">
  <dimension ref="B2:J12"/>
  <sheetViews>
    <sheetView workbookViewId="0"/>
  </sheetViews>
  <sheetFormatPr defaultRowHeight="15" x14ac:dyDescent="0.25"/>
  <cols>
    <col min="2" max="2" width="7.42578125" customWidth="1"/>
    <col min="3" max="3" width="31.28515625" customWidth="1"/>
    <col min="4" max="4" width="13.28515625" customWidth="1"/>
    <col min="5" max="5" width="9" customWidth="1"/>
    <col min="6" max="6" width="14" customWidth="1"/>
    <col min="7" max="7" width="8.7109375" customWidth="1"/>
    <col min="8" max="8" width="11" customWidth="1"/>
  </cols>
  <sheetData>
    <row r="2" spans="2:10" ht="15.75" x14ac:dyDescent="0.25">
      <c r="J2" s="1"/>
    </row>
    <row r="3" spans="2:10" ht="15.75" thickBot="1" x14ac:dyDescent="0.3">
      <c r="B3" s="334"/>
      <c r="C3" s="334"/>
      <c r="D3" s="334"/>
      <c r="E3" s="334"/>
      <c r="F3" s="334"/>
      <c r="G3" s="334"/>
      <c r="H3" s="334"/>
    </row>
    <row r="4" spans="2:10" ht="16.5" thickTop="1" x14ac:dyDescent="0.25">
      <c r="B4" s="462" t="s">
        <v>1386</v>
      </c>
      <c r="C4" s="462"/>
      <c r="D4" s="462"/>
      <c r="E4" s="462"/>
      <c r="F4" s="462"/>
      <c r="G4" s="462"/>
      <c r="H4" s="462"/>
    </row>
    <row r="5" spans="2:10" ht="31.5" customHeight="1" x14ac:dyDescent="0.25">
      <c r="B5" s="473" t="s">
        <v>100</v>
      </c>
      <c r="C5" s="443" t="s">
        <v>12</v>
      </c>
      <c r="D5" s="443" t="s">
        <v>603</v>
      </c>
      <c r="E5" s="443"/>
      <c r="F5" s="443" t="s">
        <v>604</v>
      </c>
      <c r="G5" s="443"/>
      <c r="H5" s="443" t="s">
        <v>751</v>
      </c>
    </row>
    <row r="6" spans="2:10" ht="31.5" x14ac:dyDescent="0.25">
      <c r="B6" s="473"/>
      <c r="C6" s="443"/>
      <c r="D6" s="50" t="s">
        <v>13</v>
      </c>
      <c r="E6" s="50" t="s">
        <v>20</v>
      </c>
      <c r="F6" s="50" t="s">
        <v>13</v>
      </c>
      <c r="G6" s="50" t="s">
        <v>20</v>
      </c>
      <c r="H6" s="443"/>
    </row>
    <row r="7" spans="2:10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</row>
    <row r="8" spans="2:10" ht="20.100000000000001" customHeight="1" x14ac:dyDescent="0.25">
      <c r="B8" s="52" t="s">
        <v>247</v>
      </c>
      <c r="C8" s="53" t="s">
        <v>14</v>
      </c>
      <c r="D8" s="52">
        <v>82</v>
      </c>
      <c r="E8" s="60">
        <f>D8/D12*100</f>
        <v>71.304347826086953</v>
      </c>
      <c r="F8" s="52">
        <v>80</v>
      </c>
      <c r="G8" s="60">
        <f>F8/F12*100</f>
        <v>71.428571428571431</v>
      </c>
      <c r="H8" s="184">
        <f>F8/D8*100</f>
        <v>97.560975609756099</v>
      </c>
    </row>
    <row r="9" spans="2:10" ht="20.100000000000001" customHeight="1" x14ac:dyDescent="0.25">
      <c r="B9" s="52" t="s">
        <v>248</v>
      </c>
      <c r="C9" s="53" t="s">
        <v>15</v>
      </c>
      <c r="D9" s="52">
        <v>2</v>
      </c>
      <c r="E9" s="60">
        <f>D9/D12*100</f>
        <v>1.7391304347826086</v>
      </c>
      <c r="F9" s="52">
        <v>2</v>
      </c>
      <c r="G9" s="60">
        <f>F9/F12*100</f>
        <v>1.7857142857142856</v>
      </c>
      <c r="H9" s="184">
        <f>F9/D9*100</f>
        <v>100</v>
      </c>
    </row>
    <row r="10" spans="2:10" ht="20.100000000000001" customHeight="1" x14ac:dyDescent="0.25">
      <c r="B10" s="52" t="s">
        <v>249</v>
      </c>
      <c r="C10" s="53" t="s">
        <v>16</v>
      </c>
      <c r="D10" s="52">
        <v>23</v>
      </c>
      <c r="E10" s="60">
        <f>D10/D12*100</f>
        <v>20</v>
      </c>
      <c r="F10" s="52">
        <v>22</v>
      </c>
      <c r="G10" s="60">
        <f>F10/F12*100</f>
        <v>19.642857142857142</v>
      </c>
      <c r="H10" s="184">
        <f>F10/D10*100</f>
        <v>95.652173913043484</v>
      </c>
    </row>
    <row r="11" spans="2:10" ht="20.100000000000001" customHeight="1" x14ac:dyDescent="0.25">
      <c r="B11" s="52" t="s">
        <v>250</v>
      </c>
      <c r="C11" s="53" t="s">
        <v>17</v>
      </c>
      <c r="D11" s="52">
        <v>8</v>
      </c>
      <c r="E11" s="60">
        <f>D11/D12*100</f>
        <v>6.9565217391304346</v>
      </c>
      <c r="F11" s="52">
        <v>8</v>
      </c>
      <c r="G11" s="60">
        <f>F11/F12*100</f>
        <v>7.1428571428571423</v>
      </c>
      <c r="H11" s="184">
        <f>F11/D11*100</f>
        <v>100</v>
      </c>
    </row>
    <row r="12" spans="2:10" ht="15.75" x14ac:dyDescent="0.25">
      <c r="B12" s="443" t="s">
        <v>18</v>
      </c>
      <c r="C12" s="443"/>
      <c r="D12" s="50">
        <f>SUM(D8:D11)</f>
        <v>115</v>
      </c>
      <c r="E12" s="185">
        <f>SUM(E8:E11)</f>
        <v>100</v>
      </c>
      <c r="F12" s="50">
        <f>SUM(F8:F11)</f>
        <v>112</v>
      </c>
      <c r="G12" s="185">
        <f>SUM(G8:G11)</f>
        <v>100</v>
      </c>
      <c r="H12" s="185">
        <f>F12/D12*100</f>
        <v>97.391304347826093</v>
      </c>
    </row>
  </sheetData>
  <mergeCells count="7">
    <mergeCell ref="B12:C12"/>
    <mergeCell ref="H5:H6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D12:F12" formulaRange="1"/>
    <ignoredError sqref="G8:G13" evalError="1"/>
  </ignoredErrors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E9AB-2494-471F-8719-0A4356794BAB}">
  <dimension ref="B3:H8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4" width="18.140625" customWidth="1"/>
    <col min="5" max="5" width="12.42578125" customWidth="1"/>
    <col min="6" max="6" width="15.85546875" customWidth="1"/>
    <col min="7" max="7" width="16.85546875" customWidth="1"/>
  </cols>
  <sheetData>
    <row r="3" spans="2:8" ht="15.75" thickBot="1" x14ac:dyDescent="0.3">
      <c r="B3" s="334"/>
      <c r="C3" s="334"/>
      <c r="D3" s="334"/>
      <c r="E3" s="334"/>
      <c r="F3" s="334"/>
      <c r="G3" s="334"/>
      <c r="H3" s="334"/>
    </row>
    <row r="4" spans="2:8" ht="16.5" thickTop="1" x14ac:dyDescent="0.25">
      <c r="B4" s="454" t="s">
        <v>1366</v>
      </c>
      <c r="C4" s="454"/>
      <c r="D4" s="454"/>
      <c r="E4" s="454"/>
      <c r="F4" s="454"/>
      <c r="G4" s="454"/>
      <c r="H4" s="454"/>
    </row>
    <row r="5" spans="2:8" ht="31.5" customHeight="1" x14ac:dyDescent="0.25">
      <c r="B5" s="474" t="s">
        <v>613</v>
      </c>
      <c r="C5" s="474"/>
      <c r="D5" s="474"/>
      <c r="E5" s="474" t="s">
        <v>614</v>
      </c>
      <c r="F5" s="474"/>
      <c r="G5" s="474"/>
      <c r="H5" s="450" t="s">
        <v>1054</v>
      </c>
    </row>
    <row r="6" spans="2:8" ht="52.5" customHeight="1" x14ac:dyDescent="0.25">
      <c r="B6" s="84" t="s">
        <v>1165</v>
      </c>
      <c r="C6" s="84" t="s">
        <v>981</v>
      </c>
      <c r="D6" s="84" t="s">
        <v>982</v>
      </c>
      <c r="E6" s="84" t="s">
        <v>1165</v>
      </c>
      <c r="F6" s="84" t="s">
        <v>981</v>
      </c>
      <c r="G6" s="84" t="s">
        <v>982</v>
      </c>
      <c r="H6" s="450"/>
    </row>
    <row r="7" spans="2:8" x14ac:dyDescent="0.25">
      <c r="B7" s="125">
        <v>1</v>
      </c>
      <c r="C7" s="125">
        <v>2</v>
      </c>
      <c r="D7" s="125">
        <v>3</v>
      </c>
      <c r="E7" s="125">
        <v>4</v>
      </c>
      <c r="F7" s="125">
        <v>5</v>
      </c>
      <c r="G7" s="125">
        <v>6</v>
      </c>
      <c r="H7" s="125">
        <v>7</v>
      </c>
    </row>
    <row r="8" spans="2:8" ht="15.75" x14ac:dyDescent="0.25">
      <c r="B8" s="195">
        <v>115</v>
      </c>
      <c r="C8" s="105">
        <v>568543</v>
      </c>
      <c r="D8" s="105">
        <f>C8/B8</f>
        <v>4943.8521739130438</v>
      </c>
      <c r="E8" s="195">
        <v>112</v>
      </c>
      <c r="F8" s="105">
        <v>570552</v>
      </c>
      <c r="G8" s="141">
        <f>F8/E8</f>
        <v>5094.2142857142853</v>
      </c>
      <c r="H8" s="196">
        <f>G8/D8*100</f>
        <v>103.04139578838236</v>
      </c>
    </row>
  </sheetData>
  <mergeCells count="4">
    <mergeCell ref="B4:H4"/>
    <mergeCell ref="B5:D5"/>
    <mergeCell ref="E5:G5"/>
    <mergeCell ref="H5:H6"/>
  </mergeCells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28D0-C046-4EDF-8927-49FD55855FFA}">
  <dimension ref="B3:I46"/>
  <sheetViews>
    <sheetView workbookViewId="0">
      <selection activeCell="E5" sqref="E5"/>
    </sheetView>
  </sheetViews>
  <sheetFormatPr defaultRowHeight="15" x14ac:dyDescent="0.25"/>
  <cols>
    <col min="2" max="2" width="8.42578125" customWidth="1"/>
    <col min="3" max="3" width="8.5703125" customWidth="1"/>
    <col min="4" max="4" width="39.42578125" customWidth="1"/>
    <col min="5" max="5" width="20.85546875" customWidth="1"/>
    <col min="7" max="7" width="17.5703125" customWidth="1"/>
    <col min="9" max="9" width="11.85546875" customWidth="1"/>
  </cols>
  <sheetData>
    <row r="3" spans="2:9" ht="16.5" thickBot="1" x14ac:dyDescent="0.3">
      <c r="B3" s="334"/>
      <c r="C3" s="334"/>
      <c r="D3" s="334"/>
      <c r="E3" s="334"/>
      <c r="F3" s="334"/>
      <c r="G3" s="334"/>
      <c r="H3" s="486" t="s">
        <v>271</v>
      </c>
      <c r="I3" s="486"/>
    </row>
    <row r="4" spans="2:9" ht="16.5" thickTop="1" x14ac:dyDescent="0.25">
      <c r="B4" s="462" t="s">
        <v>1367</v>
      </c>
      <c r="C4" s="462"/>
      <c r="D4" s="462"/>
      <c r="E4" s="462"/>
      <c r="F4" s="462"/>
      <c r="G4" s="462"/>
      <c r="H4" s="462"/>
      <c r="I4" s="462"/>
    </row>
    <row r="5" spans="2:9" ht="31.5" x14ac:dyDescent="0.25">
      <c r="B5" s="50" t="s">
        <v>100</v>
      </c>
      <c r="C5" s="50"/>
      <c r="D5" s="50" t="s">
        <v>56</v>
      </c>
      <c r="E5" s="50" t="s">
        <v>601</v>
      </c>
      <c r="F5" s="50" t="s">
        <v>466</v>
      </c>
      <c r="G5" s="50" t="s">
        <v>602</v>
      </c>
      <c r="H5" s="50" t="s">
        <v>467</v>
      </c>
      <c r="I5" s="50" t="s">
        <v>468</v>
      </c>
    </row>
    <row r="6" spans="2:9" x14ac:dyDescent="0.25">
      <c r="B6" s="48">
        <v>1</v>
      </c>
      <c r="C6" s="48"/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8">
        <v>7</v>
      </c>
    </row>
    <row r="7" spans="2:9" ht="15.75" x14ac:dyDescent="0.25">
      <c r="B7" s="140"/>
      <c r="C7" s="140"/>
      <c r="D7" s="140" t="s">
        <v>155</v>
      </c>
      <c r="E7" s="140"/>
      <c r="F7" s="140"/>
      <c r="G7" s="140"/>
      <c r="H7" s="140"/>
      <c r="I7" s="140"/>
    </row>
    <row r="8" spans="2:9" ht="15.75" x14ac:dyDescent="0.25">
      <c r="B8" s="52" t="s">
        <v>247</v>
      </c>
      <c r="C8" s="52"/>
      <c r="D8" s="53" t="s">
        <v>469</v>
      </c>
      <c r="E8" s="55">
        <v>7035</v>
      </c>
      <c r="F8" s="60">
        <f>E8/E28*100</f>
        <v>1.2373734264602678</v>
      </c>
      <c r="G8" s="55">
        <v>3432</v>
      </c>
      <c r="H8" s="60">
        <f>G8/G28*100</f>
        <v>0.60152273587683502</v>
      </c>
      <c r="I8" s="184">
        <f>G8/E8%</f>
        <v>48.784648187633266</v>
      </c>
    </row>
    <row r="9" spans="2:9" ht="15.75" x14ac:dyDescent="0.25">
      <c r="B9" s="52" t="s">
        <v>248</v>
      </c>
      <c r="C9" s="52"/>
      <c r="D9" s="53" t="s">
        <v>328</v>
      </c>
      <c r="E9" s="195">
        <v>12707</v>
      </c>
      <c r="F9" s="60">
        <f>E9/E28*100</f>
        <v>2.2350112480498394</v>
      </c>
      <c r="G9" s="195">
        <v>3059</v>
      </c>
      <c r="H9" s="60">
        <f>G9/G28*100</f>
        <v>0.53614745018858934</v>
      </c>
      <c r="I9" s="184">
        <f t="shared" ref="I9:I46" si="0">G9/E9%</f>
        <v>24.073345400173135</v>
      </c>
    </row>
    <row r="10" spans="2:9" ht="31.5" x14ac:dyDescent="0.25">
      <c r="B10" s="52" t="s">
        <v>249</v>
      </c>
      <c r="C10" s="52"/>
      <c r="D10" s="83" t="s">
        <v>1166</v>
      </c>
      <c r="E10" s="195">
        <f>E11-E12-E13-E14</f>
        <v>446197</v>
      </c>
      <c r="F10" s="60">
        <f>E10/E28*100</f>
        <v>78.480783335649193</v>
      </c>
      <c r="G10" s="195">
        <f>G11-G12-G13-G14</f>
        <v>454385</v>
      </c>
      <c r="H10" s="60">
        <f>G10/G28*100</f>
        <v>79.639542057516238</v>
      </c>
      <c r="I10" s="184">
        <f t="shared" si="0"/>
        <v>101.83506388433808</v>
      </c>
    </row>
    <row r="11" spans="2:9" ht="31.5" x14ac:dyDescent="0.25">
      <c r="B11" s="52"/>
      <c r="C11" s="52" t="s">
        <v>470</v>
      </c>
      <c r="D11" s="53" t="s">
        <v>1167</v>
      </c>
      <c r="E11" s="195">
        <v>503566</v>
      </c>
      <c r="F11" s="60">
        <f>E11/E28*100</f>
        <v>88.571312987759939</v>
      </c>
      <c r="G11" s="195">
        <v>510653</v>
      </c>
      <c r="H11" s="60">
        <f>G11/G28*100</f>
        <v>89.501570409007414</v>
      </c>
      <c r="I11" s="184">
        <f t="shared" si="0"/>
        <v>101.40736268929992</v>
      </c>
    </row>
    <row r="12" spans="2:9" ht="15.75" x14ac:dyDescent="0.25">
      <c r="B12" s="52"/>
      <c r="C12" s="52" t="s">
        <v>471</v>
      </c>
      <c r="D12" s="53" t="s">
        <v>472</v>
      </c>
      <c r="E12" s="195">
        <v>5186</v>
      </c>
      <c r="F12" s="60">
        <f>E12/E28*100</f>
        <v>0.91215616057184778</v>
      </c>
      <c r="G12" s="195">
        <v>5236</v>
      </c>
      <c r="H12" s="60">
        <f>G12/G28*100</f>
        <v>0.91770776370953044</v>
      </c>
      <c r="I12" s="184">
        <f>G12/E12%</f>
        <v>100.96413420748168</v>
      </c>
    </row>
    <row r="13" spans="2:9" ht="15.75" x14ac:dyDescent="0.25">
      <c r="B13" s="52"/>
      <c r="C13" s="52" t="s">
        <v>473</v>
      </c>
      <c r="D13" s="53" t="s">
        <v>1168</v>
      </c>
      <c r="E13" s="195">
        <v>51660</v>
      </c>
      <c r="F13" s="60">
        <f>E13/E28*100</f>
        <v>9.086383967439577</v>
      </c>
      <c r="G13" s="195">
        <v>50485</v>
      </c>
      <c r="H13" s="60">
        <f>G13/G28*100</f>
        <v>8.8484485200297254</v>
      </c>
      <c r="I13" s="184">
        <f t="shared" si="0"/>
        <v>97.725512969415405</v>
      </c>
    </row>
    <row r="14" spans="2:9" ht="15.75" x14ac:dyDescent="0.25">
      <c r="B14" s="52"/>
      <c r="C14" s="52" t="s">
        <v>474</v>
      </c>
      <c r="D14" s="53" t="s">
        <v>1169</v>
      </c>
      <c r="E14" s="195">
        <v>523</v>
      </c>
      <c r="F14" s="60">
        <f>E14/E28*100</f>
        <v>9.1989524099320541E-2</v>
      </c>
      <c r="G14" s="195">
        <v>547</v>
      </c>
      <c r="H14" s="60">
        <f>G14/G28*100</f>
        <v>9.5872067751931467E-2</v>
      </c>
      <c r="I14" s="184">
        <f t="shared" si="0"/>
        <v>104.5889101338432</v>
      </c>
    </row>
    <row r="15" spans="2:9" ht="15.75" x14ac:dyDescent="0.25">
      <c r="B15" s="52" t="s">
        <v>250</v>
      </c>
      <c r="C15" s="52"/>
      <c r="D15" s="53" t="s">
        <v>1170</v>
      </c>
      <c r="E15" s="195">
        <v>27</v>
      </c>
      <c r="F15" s="60">
        <f>E15/E28*100</f>
        <v>4.7489811676513479E-3</v>
      </c>
      <c r="G15" s="195">
        <v>0</v>
      </c>
      <c r="H15" s="60">
        <f>G15/G28*100</f>
        <v>0</v>
      </c>
      <c r="I15" s="184">
        <f t="shared" si="0"/>
        <v>0</v>
      </c>
    </row>
    <row r="16" spans="2:9" ht="31.5" x14ac:dyDescent="0.25">
      <c r="B16" s="52" t="s">
        <v>251</v>
      </c>
      <c r="C16" s="52"/>
      <c r="D16" s="53" t="s">
        <v>1171</v>
      </c>
      <c r="E16" s="195">
        <f>E17+E18-E19-E20</f>
        <v>92646</v>
      </c>
      <c r="F16" s="60">
        <f>E16/E28*100</f>
        <v>16.295337379934324</v>
      </c>
      <c r="G16" s="195">
        <f>G17+G18-G19-G20</f>
        <v>100011</v>
      </c>
      <c r="H16" s="60">
        <f>G16/G28*100</f>
        <v>17.528814200984311</v>
      </c>
      <c r="I16" s="184">
        <f t="shared" si="0"/>
        <v>107.9496146622628</v>
      </c>
    </row>
    <row r="17" spans="2:9" ht="31.5" x14ac:dyDescent="0.25">
      <c r="B17" s="52"/>
      <c r="C17" s="52" t="s">
        <v>476</v>
      </c>
      <c r="D17" s="53" t="s">
        <v>1172</v>
      </c>
      <c r="E17" s="195">
        <v>4626</v>
      </c>
      <c r="F17" s="60">
        <f>E17/E28*100</f>
        <v>0.81365877339093085</v>
      </c>
      <c r="G17" s="195">
        <v>4430</v>
      </c>
      <c r="H17" s="60">
        <f>G17/G28*100</f>
        <v>0.7764410605869404</v>
      </c>
      <c r="I17" s="184">
        <f t="shared" si="0"/>
        <v>95.763078253350628</v>
      </c>
    </row>
    <row r="18" spans="2:9" ht="31.5" x14ac:dyDescent="0.25">
      <c r="B18" s="52"/>
      <c r="C18" s="52" t="s">
        <v>477</v>
      </c>
      <c r="D18" s="53" t="s">
        <v>1173</v>
      </c>
      <c r="E18" s="195">
        <v>118617</v>
      </c>
      <c r="F18" s="60">
        <f>E18/E28*100</f>
        <v>20.863329598640735</v>
      </c>
      <c r="G18" s="195">
        <v>127528</v>
      </c>
      <c r="H18" s="60">
        <f>G18/G28*100</f>
        <v>22.351687488607524</v>
      </c>
      <c r="I18" s="184">
        <f t="shared" si="0"/>
        <v>107.512413903572</v>
      </c>
    </row>
    <row r="19" spans="2:9" ht="15.75" x14ac:dyDescent="0.25">
      <c r="B19" s="52"/>
      <c r="C19" s="52" t="s">
        <v>1174</v>
      </c>
      <c r="D19" s="53" t="s">
        <v>1175</v>
      </c>
      <c r="E19" s="195">
        <v>3184</v>
      </c>
      <c r="F19" s="60">
        <f>E19/E28*100</f>
        <v>0.56002800140007003</v>
      </c>
      <c r="G19" s="195">
        <v>3008</v>
      </c>
      <c r="H19" s="60">
        <f>G19/G28*100</f>
        <v>0.5272087382044055</v>
      </c>
      <c r="I19" s="184">
        <f t="shared" si="0"/>
        <v>94.472361809045225</v>
      </c>
    </row>
    <row r="20" spans="2:9" ht="15.75" x14ac:dyDescent="0.25">
      <c r="B20" s="52"/>
      <c r="C20" s="52" t="s">
        <v>1176</v>
      </c>
      <c r="D20" s="53" t="s">
        <v>1177</v>
      </c>
      <c r="E20" s="195">
        <v>27413</v>
      </c>
      <c r="F20" s="60">
        <f>E20/E28*100</f>
        <v>4.8216229906972732</v>
      </c>
      <c r="G20" s="195">
        <v>28939</v>
      </c>
      <c r="H20" s="60">
        <f>G20/G28*100</f>
        <v>5.0721056100057487</v>
      </c>
      <c r="I20" s="184">
        <f t="shared" si="0"/>
        <v>105.56670192974137</v>
      </c>
    </row>
    <row r="21" spans="2:9" ht="15.75" x14ac:dyDescent="0.25">
      <c r="B21" s="52" t="s">
        <v>252</v>
      </c>
      <c r="C21" s="52"/>
      <c r="D21" s="53" t="s">
        <v>330</v>
      </c>
      <c r="E21" s="195">
        <v>490</v>
      </c>
      <c r="F21" s="60">
        <f>E21/E28*100</f>
        <v>8.6185213783302225E-2</v>
      </c>
      <c r="G21" s="195">
        <v>490</v>
      </c>
      <c r="H21" s="60">
        <f>G21/G28*100</f>
        <v>8.5881742593137869E-2</v>
      </c>
      <c r="I21" s="184">
        <f t="shared" si="0"/>
        <v>99.999999999999986</v>
      </c>
    </row>
    <row r="22" spans="2:9" ht="15.75" x14ac:dyDescent="0.25">
      <c r="B22" s="52" t="s">
        <v>253</v>
      </c>
      <c r="C22" s="52"/>
      <c r="D22" s="53" t="s">
        <v>1178</v>
      </c>
      <c r="E22" s="195">
        <f>E23+E26+E27</f>
        <v>9441</v>
      </c>
      <c r="F22" s="60">
        <f>E22/E28*100</f>
        <v>1.6605604149554212</v>
      </c>
      <c r="G22" s="195">
        <f>G23+G26+G27</f>
        <v>9175</v>
      </c>
      <c r="H22" s="60">
        <f>G22/G28*100</f>
        <v>1.6080918128408981</v>
      </c>
      <c r="I22" s="184">
        <f t="shared" si="0"/>
        <v>97.182501853617211</v>
      </c>
    </row>
    <row r="23" spans="2:9" ht="15.75" x14ac:dyDescent="0.25">
      <c r="B23" s="52"/>
      <c r="C23" s="52" t="s">
        <v>1179</v>
      </c>
      <c r="D23" s="53" t="s">
        <v>1180</v>
      </c>
      <c r="E23" s="195">
        <f>E24-E25</f>
        <v>0</v>
      </c>
      <c r="F23" s="60">
        <f>E23/E28*100</f>
        <v>0</v>
      </c>
      <c r="G23" s="195">
        <f>G24-G25</f>
        <v>0</v>
      </c>
      <c r="H23" s="60">
        <f>G23/G28*100</f>
        <v>0</v>
      </c>
      <c r="I23" s="184" t="s">
        <v>80</v>
      </c>
    </row>
    <row r="24" spans="2:9" ht="31.5" x14ac:dyDescent="0.25">
      <c r="B24" s="52"/>
      <c r="C24" s="52" t="s">
        <v>1181</v>
      </c>
      <c r="D24" s="53" t="s">
        <v>1182</v>
      </c>
      <c r="E24" s="195">
        <v>0</v>
      </c>
      <c r="F24" s="60">
        <f>E24/E28*100</f>
        <v>0</v>
      </c>
      <c r="G24" s="195">
        <v>0</v>
      </c>
      <c r="H24" s="60">
        <f>G24/G28*100</f>
        <v>0</v>
      </c>
      <c r="I24" s="184" t="s">
        <v>80</v>
      </c>
    </row>
    <row r="25" spans="2:9" ht="15.75" customHeight="1" x14ac:dyDescent="0.25">
      <c r="B25" s="52"/>
      <c r="C25" s="52" t="s">
        <v>1183</v>
      </c>
      <c r="D25" s="53" t="s">
        <v>1184</v>
      </c>
      <c r="E25" s="195">
        <v>0</v>
      </c>
      <c r="F25" s="60">
        <f>E25/E28*100</f>
        <v>0</v>
      </c>
      <c r="G25" s="195">
        <v>0</v>
      </c>
      <c r="H25" s="60">
        <f>G25/G28*100</f>
        <v>0</v>
      </c>
      <c r="I25" s="184" t="s">
        <v>80</v>
      </c>
    </row>
    <row r="26" spans="2:9" ht="15.75" x14ac:dyDescent="0.25">
      <c r="B26" s="52"/>
      <c r="C26" s="52" t="s">
        <v>1185</v>
      </c>
      <c r="D26" s="53" t="s">
        <v>1186</v>
      </c>
      <c r="E26" s="195">
        <v>1754</v>
      </c>
      <c r="F26" s="60">
        <f>E26/E28*100</f>
        <v>0.30850788770594312</v>
      </c>
      <c r="G26" s="195">
        <v>2492</v>
      </c>
      <c r="H26" s="60">
        <f>G26/G28*100</f>
        <v>0.43677000518795833</v>
      </c>
      <c r="I26" s="184">
        <f t="shared" si="0"/>
        <v>142.07525655644241</v>
      </c>
    </row>
    <row r="27" spans="2:9" ht="15.75" x14ac:dyDescent="0.25">
      <c r="B27" s="52"/>
      <c r="C27" s="52" t="s">
        <v>1187</v>
      </c>
      <c r="D27" s="53" t="s">
        <v>22</v>
      </c>
      <c r="E27" s="195">
        <v>7687</v>
      </c>
      <c r="F27" s="60">
        <f>E27/E28*100</f>
        <v>1.3520525272494781</v>
      </c>
      <c r="G27" s="195">
        <v>6683</v>
      </c>
      <c r="H27" s="60">
        <f>G27/G28*100</f>
        <v>1.1713218076529397</v>
      </c>
      <c r="I27" s="184">
        <f t="shared" si="0"/>
        <v>86.938987901652141</v>
      </c>
    </row>
    <row r="28" spans="2:9" ht="15.75" x14ac:dyDescent="0.25">
      <c r="B28" s="443" t="s">
        <v>1188</v>
      </c>
      <c r="C28" s="443"/>
      <c r="D28" s="443"/>
      <c r="E28" s="204">
        <f>E9+E8+E10+E15+E16+E21+E22</f>
        <v>568543</v>
      </c>
      <c r="F28" s="190">
        <f>F9+F8+F10+F15+F16+F21+F22</f>
        <v>100</v>
      </c>
      <c r="G28" s="204">
        <f>G9+G8+G10+G15+G16+G21+G22</f>
        <v>570552</v>
      </c>
      <c r="H28" s="190">
        <f>H9+H8+H10+H15+H16+H21+H22</f>
        <v>100.00000000000001</v>
      </c>
      <c r="I28" s="185">
        <f t="shared" si="0"/>
        <v>100.35335937651153</v>
      </c>
    </row>
    <row r="29" spans="2:9" ht="15.75" x14ac:dyDescent="0.25">
      <c r="B29" s="140"/>
      <c r="C29" s="140"/>
      <c r="D29" s="140" t="s">
        <v>156</v>
      </c>
      <c r="E29" s="226"/>
      <c r="F29" s="222"/>
      <c r="G29" s="226"/>
      <c r="H29" s="222"/>
      <c r="I29" s="184"/>
    </row>
    <row r="30" spans="2:9" ht="15.75" customHeight="1" x14ac:dyDescent="0.25">
      <c r="B30" s="52" t="s">
        <v>254</v>
      </c>
      <c r="C30" s="52"/>
      <c r="D30" s="53" t="s">
        <v>1189</v>
      </c>
      <c r="E30" s="195">
        <f>E31+E32-E33</f>
        <v>496161</v>
      </c>
      <c r="F30" s="187">
        <f>E30/E$40%</f>
        <v>87.268860930483712</v>
      </c>
      <c r="G30" s="195">
        <f>G31+G32-G33</f>
        <v>495061</v>
      </c>
      <c r="H30" s="187">
        <f>G30/G$40%</f>
        <v>86.768778305921273</v>
      </c>
      <c r="I30" s="184">
        <f>G30/E30%</f>
        <v>99.778297770280219</v>
      </c>
    </row>
    <row r="31" spans="2:9" ht="15.75" customHeight="1" x14ac:dyDescent="0.25">
      <c r="B31" s="52"/>
      <c r="C31" s="52" t="s">
        <v>1190</v>
      </c>
      <c r="D31" s="53" t="s">
        <v>1191</v>
      </c>
      <c r="E31" s="195">
        <v>21933</v>
      </c>
      <c r="F31" s="187">
        <f>E31/E$40%</f>
        <v>3.8577557018554445</v>
      </c>
      <c r="G31" s="195">
        <v>10008</v>
      </c>
      <c r="H31" s="187">
        <f>G31/G$40%</f>
        <v>1.7540907752492323</v>
      </c>
      <c r="I31" s="184">
        <f t="shared" si="0"/>
        <v>45.629872794419363</v>
      </c>
    </row>
    <row r="32" spans="2:9" ht="15.75" customHeight="1" x14ac:dyDescent="0.25">
      <c r="B32" s="52"/>
      <c r="C32" s="52" t="s">
        <v>1192</v>
      </c>
      <c r="D32" s="53" t="s">
        <v>1193</v>
      </c>
      <c r="E32" s="195">
        <v>474650</v>
      </c>
      <c r="F32" s="187">
        <f t="shared" ref="F32:H34" si="1">E32/E$40%</f>
        <v>83.485330045396736</v>
      </c>
      <c r="G32" s="195">
        <v>485501</v>
      </c>
      <c r="H32" s="187">
        <f t="shared" si="1"/>
        <v>85.093207981042909</v>
      </c>
      <c r="I32" s="184">
        <f t="shared" si="0"/>
        <v>102.28610555145897</v>
      </c>
    </row>
    <row r="33" spans="2:9" ht="15.75" customHeight="1" x14ac:dyDescent="0.25">
      <c r="B33" s="52"/>
      <c r="C33" s="52" t="s">
        <v>1194</v>
      </c>
      <c r="D33" s="53" t="s">
        <v>1195</v>
      </c>
      <c r="E33" s="195">
        <v>422</v>
      </c>
      <c r="F33" s="187">
        <f>E33/E$40%</f>
        <v>7.4224816768476615E-2</v>
      </c>
      <c r="G33" s="195">
        <v>448</v>
      </c>
      <c r="H33" s="187">
        <f>G33/G$40%</f>
        <v>7.8520450370868911E-2</v>
      </c>
      <c r="I33" s="184">
        <f t="shared" si="0"/>
        <v>106.1611374407583</v>
      </c>
    </row>
    <row r="34" spans="2:9" ht="15.75" customHeight="1" x14ac:dyDescent="0.25">
      <c r="B34" s="52" t="s">
        <v>255</v>
      </c>
      <c r="C34" s="52"/>
      <c r="D34" s="53" t="s">
        <v>24</v>
      </c>
      <c r="E34" s="195">
        <v>13362</v>
      </c>
      <c r="F34" s="187">
        <f>E34/E$40%</f>
        <v>2.3502180134132336</v>
      </c>
      <c r="G34" s="195">
        <v>14328</v>
      </c>
      <c r="H34" s="187">
        <f t="shared" si="1"/>
        <v>2.5112522609683254</v>
      </c>
      <c r="I34" s="184">
        <f t="shared" si="0"/>
        <v>107.22945666816345</v>
      </c>
    </row>
    <row r="35" spans="2:9" ht="15.75" x14ac:dyDescent="0.25">
      <c r="B35" s="443" t="s">
        <v>1196</v>
      </c>
      <c r="C35" s="443"/>
      <c r="D35" s="443"/>
      <c r="E35" s="204">
        <f>E30+E34</f>
        <v>509523</v>
      </c>
      <c r="F35" s="158">
        <f>F30+F34</f>
        <v>89.619078943896952</v>
      </c>
      <c r="G35" s="204">
        <f>G30+G34</f>
        <v>509389</v>
      </c>
      <c r="H35" s="158">
        <f>H30+H34</f>
        <v>89.280030566889593</v>
      </c>
      <c r="I35" s="185">
        <f t="shared" si="0"/>
        <v>99.973700892795819</v>
      </c>
    </row>
    <row r="36" spans="2:9" ht="15.75" x14ac:dyDescent="0.25">
      <c r="B36" s="52" t="s">
        <v>256</v>
      </c>
      <c r="C36" s="52"/>
      <c r="D36" s="83" t="s">
        <v>59</v>
      </c>
      <c r="E36" s="195">
        <v>29431</v>
      </c>
      <c r="F36" s="187">
        <f>E36/E$40%</f>
        <v>5.1765653609313631</v>
      </c>
      <c r="G36" s="195">
        <v>29432</v>
      </c>
      <c r="H36" s="187">
        <f>G36/G$40%</f>
        <v>5.1585131591861915</v>
      </c>
      <c r="I36" s="184">
        <f t="shared" si="0"/>
        <v>100.00339777785328</v>
      </c>
    </row>
    <row r="37" spans="2:9" ht="15.75" x14ac:dyDescent="0.25">
      <c r="B37" s="52" t="s">
        <v>257</v>
      </c>
      <c r="C37" s="52"/>
      <c r="D37" s="83" t="s">
        <v>287</v>
      </c>
      <c r="E37" s="195">
        <v>22241</v>
      </c>
      <c r="F37" s="187">
        <f>E37/E$40%</f>
        <v>3.9119292648049484</v>
      </c>
      <c r="G37" s="195">
        <v>22241</v>
      </c>
      <c r="H37" s="187">
        <f>G37/G$40%</f>
        <v>3.8981547694162844</v>
      </c>
      <c r="I37" s="184">
        <f t="shared" si="0"/>
        <v>100</v>
      </c>
    </row>
    <row r="38" spans="2:9" ht="15.75" x14ac:dyDescent="0.25">
      <c r="B38" s="52" t="s">
        <v>258</v>
      </c>
      <c r="C38" s="52"/>
      <c r="D38" s="53" t="s">
        <v>1197</v>
      </c>
      <c r="E38" s="195">
        <v>7348</v>
      </c>
      <c r="F38" s="187">
        <f>E38/E$40%</f>
        <v>1.2924264303667443</v>
      </c>
      <c r="G38" s="195">
        <v>9490</v>
      </c>
      <c r="H38" s="187">
        <f>G38/G$40%</f>
        <v>1.6633015045079149</v>
      </c>
      <c r="I38" s="184">
        <f t="shared" si="0"/>
        <v>129.15078933043003</v>
      </c>
    </row>
    <row r="39" spans="2:9" ht="15.75" x14ac:dyDescent="0.25">
      <c r="B39" s="443" t="s">
        <v>1198</v>
      </c>
      <c r="C39" s="443"/>
      <c r="D39" s="443"/>
      <c r="E39" s="204">
        <f>SUM(E36:E38)</f>
        <v>59020</v>
      </c>
      <c r="F39" s="158">
        <f>E39/E$40%</f>
        <v>10.380921056103055</v>
      </c>
      <c r="G39" s="204">
        <f>SUM(G36:G38)</f>
        <v>61163</v>
      </c>
      <c r="H39" s="158">
        <f>G39/G$40%</f>
        <v>10.719969433110391</v>
      </c>
      <c r="I39" s="185">
        <f t="shared" si="0"/>
        <v>103.63097255167739</v>
      </c>
    </row>
    <row r="40" spans="2:9" ht="15.75" x14ac:dyDescent="0.25">
      <c r="B40" s="443" t="s">
        <v>1199</v>
      </c>
      <c r="C40" s="443"/>
      <c r="D40" s="443"/>
      <c r="E40" s="204">
        <f>E35+E39</f>
        <v>568543</v>
      </c>
      <c r="F40" s="190"/>
      <c r="G40" s="204">
        <f>G35+G39</f>
        <v>570552</v>
      </c>
      <c r="H40" s="190"/>
      <c r="I40" s="185">
        <f t="shared" si="0"/>
        <v>100.35335937651153</v>
      </c>
    </row>
    <row r="41" spans="2:9" ht="15.75" customHeight="1" x14ac:dyDescent="0.25">
      <c r="B41" s="52"/>
      <c r="C41" s="52"/>
      <c r="D41" s="83" t="s">
        <v>1200</v>
      </c>
      <c r="E41" s="195">
        <v>2921</v>
      </c>
      <c r="F41" s="225"/>
      <c r="G41" s="195">
        <v>3311</v>
      </c>
      <c r="H41" s="225"/>
      <c r="I41" s="184">
        <f t="shared" si="0"/>
        <v>113.35159192057515</v>
      </c>
    </row>
    <row r="42" spans="2:9" ht="15.75" customHeight="1" x14ac:dyDescent="0.25">
      <c r="B42" s="52"/>
      <c r="C42" s="52"/>
      <c r="D42" s="83" t="s">
        <v>1201</v>
      </c>
      <c r="E42" s="195">
        <v>1467</v>
      </c>
      <c r="F42" s="225"/>
      <c r="G42" s="195">
        <v>100</v>
      </c>
      <c r="H42" s="225"/>
      <c r="I42" s="184">
        <f t="shared" si="0"/>
        <v>6.8166325835037496</v>
      </c>
    </row>
    <row r="43" spans="2:9" ht="15.75" customHeight="1" x14ac:dyDescent="0.25">
      <c r="B43" s="52"/>
      <c r="C43" s="52"/>
      <c r="D43" s="83" t="s">
        <v>1202</v>
      </c>
      <c r="E43" s="195">
        <v>954</v>
      </c>
      <c r="F43" s="225"/>
      <c r="G43" s="195">
        <v>37</v>
      </c>
      <c r="H43" s="225"/>
      <c r="I43" s="184">
        <f t="shared" si="0"/>
        <v>3.8784067085953882</v>
      </c>
    </row>
    <row r="44" spans="2:9" ht="15.75" customHeight="1" x14ac:dyDescent="0.25">
      <c r="B44" s="52"/>
      <c r="C44" s="52"/>
      <c r="D44" s="83" t="s">
        <v>1203</v>
      </c>
      <c r="E44" s="195">
        <v>123</v>
      </c>
      <c r="F44" s="225"/>
      <c r="G44" s="195">
        <v>0</v>
      </c>
      <c r="H44" s="225"/>
      <c r="I44" s="184">
        <f t="shared" si="0"/>
        <v>0</v>
      </c>
    </row>
    <row r="45" spans="2:9" ht="15.75" customHeight="1" x14ac:dyDescent="0.25">
      <c r="B45" s="52"/>
      <c r="C45" s="52"/>
      <c r="D45" s="83" t="s">
        <v>1204</v>
      </c>
      <c r="E45" s="195">
        <f>E41+E42-E43-E44</f>
        <v>3311</v>
      </c>
      <c r="F45" s="225"/>
      <c r="G45" s="195">
        <f>G41+G42-G43-G44</f>
        <v>3374</v>
      </c>
      <c r="H45" s="225"/>
      <c r="I45" s="184">
        <f t="shared" si="0"/>
        <v>101.90274841437632</v>
      </c>
    </row>
    <row r="46" spans="2:9" ht="15.75" customHeight="1" x14ac:dyDescent="0.25">
      <c r="B46" s="52"/>
      <c r="C46" s="52"/>
      <c r="D46" s="53" t="s">
        <v>1205</v>
      </c>
      <c r="E46" s="195">
        <v>150801</v>
      </c>
      <c r="F46" s="270"/>
      <c r="G46" s="195">
        <v>143439</v>
      </c>
      <c r="H46" s="270"/>
      <c r="I46" s="184">
        <f t="shared" si="0"/>
        <v>95.118069508822884</v>
      </c>
    </row>
  </sheetData>
  <mergeCells count="6">
    <mergeCell ref="B40:D40"/>
    <mergeCell ref="H3:I3"/>
    <mergeCell ref="B4:I4"/>
    <mergeCell ref="B28:D28"/>
    <mergeCell ref="B35:D35"/>
    <mergeCell ref="B39:D39"/>
  </mergeCells>
  <pageMargins left="0.7" right="0.7" top="0.75" bottom="0.75" header="0.3" footer="0.3"/>
  <ignoredErrors>
    <ignoredError sqref="F39:G39 F22:F23 F30 F10:H21 F31:H33 G30:H30 F24:H29 G22:H23 H35 G34:H34 F35" formula="1"/>
  </ignoredErrors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0448C-0113-4AE3-B208-C6C5F6580EEB}">
  <dimension ref="B3:H19"/>
  <sheetViews>
    <sheetView workbookViewId="0"/>
  </sheetViews>
  <sheetFormatPr defaultRowHeight="15" x14ac:dyDescent="0.25"/>
  <cols>
    <col min="3" max="3" width="30.140625" customWidth="1"/>
    <col min="4" max="4" width="16.140625" customWidth="1"/>
    <col min="5" max="5" width="16.42578125" customWidth="1"/>
    <col min="6" max="6" width="14.140625" customWidth="1"/>
    <col min="7" max="7" width="18.5703125" customWidth="1"/>
  </cols>
  <sheetData>
    <row r="3" spans="2:8" ht="16.5" thickBot="1" x14ac:dyDescent="0.3">
      <c r="B3" s="334"/>
      <c r="C3" s="334"/>
      <c r="D3" s="334"/>
      <c r="E3" s="334"/>
      <c r="F3" s="334"/>
      <c r="G3" s="486" t="s">
        <v>271</v>
      </c>
      <c r="H3" s="486"/>
    </row>
    <row r="4" spans="2:8" ht="16.5" thickTop="1" x14ac:dyDescent="0.25">
      <c r="B4" s="462" t="s">
        <v>1385</v>
      </c>
      <c r="C4" s="462"/>
      <c r="D4" s="462"/>
      <c r="E4" s="462"/>
      <c r="F4" s="462"/>
      <c r="G4" s="462"/>
      <c r="H4" s="462"/>
    </row>
    <row r="5" spans="2:8" ht="31.5" x14ac:dyDescent="0.25">
      <c r="B5" s="50" t="s">
        <v>100</v>
      </c>
      <c r="C5" s="50" t="s">
        <v>56</v>
      </c>
      <c r="D5" s="50" t="s">
        <v>200</v>
      </c>
      <c r="E5" s="50" t="s">
        <v>201</v>
      </c>
      <c r="F5" s="50" t="s">
        <v>202</v>
      </c>
      <c r="G5" s="50" t="s">
        <v>203</v>
      </c>
      <c r="H5" s="50" t="s">
        <v>20</v>
      </c>
    </row>
    <row r="6" spans="2:8" x14ac:dyDescent="0.25">
      <c r="B6" s="48">
        <v>1</v>
      </c>
      <c r="C6" s="48">
        <v>2</v>
      </c>
      <c r="D6" s="48">
        <v>3</v>
      </c>
      <c r="E6" s="48">
        <v>4</v>
      </c>
      <c r="F6" s="48">
        <v>5</v>
      </c>
      <c r="G6" s="48">
        <v>6</v>
      </c>
      <c r="H6" s="48">
        <v>7</v>
      </c>
    </row>
    <row r="7" spans="2:8" ht="15.75" customHeight="1" x14ac:dyDescent="0.25">
      <c r="B7" s="140" t="s">
        <v>247</v>
      </c>
      <c r="C7" s="51" t="s">
        <v>199</v>
      </c>
      <c r="D7" s="140"/>
      <c r="E7" s="140"/>
      <c r="F7" s="140"/>
      <c r="G7" s="140"/>
      <c r="H7" s="140"/>
    </row>
    <row r="8" spans="2:8" ht="15.75" customHeight="1" x14ac:dyDescent="0.25">
      <c r="B8" s="52" t="s">
        <v>58</v>
      </c>
      <c r="C8" s="53" t="s">
        <v>213</v>
      </c>
      <c r="D8" s="195">
        <v>75614</v>
      </c>
      <c r="E8" s="195">
        <v>166455</v>
      </c>
      <c r="F8" s="195">
        <v>1996</v>
      </c>
      <c r="G8" s="195">
        <f>D8+E8+F8</f>
        <v>244065</v>
      </c>
      <c r="H8" s="187">
        <f>G8/G13*100</f>
        <v>53.101359598451772</v>
      </c>
    </row>
    <row r="9" spans="2:8" ht="31.5" customHeight="1" x14ac:dyDescent="0.25">
      <c r="B9" s="52" t="s">
        <v>88</v>
      </c>
      <c r="C9" s="83" t="s">
        <v>320</v>
      </c>
      <c r="D9" s="195">
        <v>57841</v>
      </c>
      <c r="E9" s="195">
        <v>107269</v>
      </c>
      <c r="F9" s="195">
        <v>1528</v>
      </c>
      <c r="G9" s="195">
        <f>D9+E9+F9</f>
        <v>166638</v>
      </c>
      <c r="H9" s="187">
        <f>G9/G13*100</f>
        <v>36.255523572682712</v>
      </c>
    </row>
    <row r="10" spans="2:8" ht="15.75" customHeight="1" x14ac:dyDescent="0.25">
      <c r="B10" s="52" t="s">
        <v>274</v>
      </c>
      <c r="C10" s="53" t="s">
        <v>319</v>
      </c>
      <c r="D10" s="195">
        <v>19415</v>
      </c>
      <c r="E10" s="195">
        <v>28671</v>
      </c>
      <c r="F10" s="195">
        <v>590</v>
      </c>
      <c r="G10" s="195">
        <f>D10+E10+F10</f>
        <v>48676</v>
      </c>
      <c r="H10" s="187">
        <f>G10/G13*100</f>
        <v>10.590464752480848</v>
      </c>
    </row>
    <row r="11" spans="2:8" ht="15.75" customHeight="1" x14ac:dyDescent="0.25">
      <c r="B11" s="52" t="s">
        <v>275</v>
      </c>
      <c r="C11" s="53" t="s">
        <v>214</v>
      </c>
      <c r="D11" s="195">
        <v>56</v>
      </c>
      <c r="E11" s="195">
        <v>84</v>
      </c>
      <c r="F11" s="195">
        <v>0</v>
      </c>
      <c r="G11" s="195">
        <f>D11+E11+F11</f>
        <v>140</v>
      </c>
      <c r="H11" s="187">
        <f>G11/G13*100</f>
        <v>3.0459878900224314E-2</v>
      </c>
    </row>
    <row r="12" spans="2:8" ht="15.75" customHeight="1" x14ac:dyDescent="0.25">
      <c r="B12" s="52" t="s">
        <v>276</v>
      </c>
      <c r="C12" s="53" t="s">
        <v>46</v>
      </c>
      <c r="D12" s="195">
        <v>46</v>
      </c>
      <c r="E12" s="195">
        <v>55</v>
      </c>
      <c r="F12" s="195">
        <v>1</v>
      </c>
      <c r="G12" s="195">
        <f>D12+E12+F12</f>
        <v>102</v>
      </c>
      <c r="H12" s="187">
        <f>G12/G13*100</f>
        <v>2.2192197484449144E-2</v>
      </c>
    </row>
    <row r="13" spans="2:8" ht="15.75" customHeight="1" x14ac:dyDescent="0.25">
      <c r="B13" s="443" t="s">
        <v>18</v>
      </c>
      <c r="C13" s="443"/>
      <c r="D13" s="204">
        <f>SUM(D8:D12)</f>
        <v>152972</v>
      </c>
      <c r="E13" s="204">
        <f>SUM(E8:E12)</f>
        <v>302534</v>
      </c>
      <c r="F13" s="204">
        <f>SUM(F8:F12)</f>
        <v>4115</v>
      </c>
      <c r="G13" s="204">
        <f>SUM(G8:G12)</f>
        <v>459621</v>
      </c>
      <c r="H13" s="190">
        <f>SUM(H8:H12)</f>
        <v>100</v>
      </c>
    </row>
    <row r="14" spans="2:8" ht="15.75" customHeight="1" x14ac:dyDescent="0.25">
      <c r="B14" s="140" t="s">
        <v>248</v>
      </c>
      <c r="C14" s="51" t="s">
        <v>273</v>
      </c>
      <c r="D14" s="226"/>
      <c r="E14" s="226"/>
      <c r="F14" s="226"/>
      <c r="G14" s="226"/>
      <c r="H14" s="140"/>
    </row>
    <row r="15" spans="2:8" ht="15.75" customHeight="1" x14ac:dyDescent="0.25">
      <c r="B15" s="52" t="s">
        <v>277</v>
      </c>
      <c r="C15" s="53" t="s">
        <v>116</v>
      </c>
      <c r="D15" s="195">
        <v>139302</v>
      </c>
      <c r="E15" s="195">
        <v>273416</v>
      </c>
      <c r="F15" s="195">
        <v>3817</v>
      </c>
      <c r="G15" s="195">
        <f>D15+E15+F15</f>
        <v>416535</v>
      </c>
      <c r="H15" s="187">
        <f>G15/G19*100</f>
        <v>90.62575469789239</v>
      </c>
    </row>
    <row r="16" spans="2:8" ht="15.75" customHeight="1" x14ac:dyDescent="0.25">
      <c r="B16" s="52" t="s">
        <v>278</v>
      </c>
      <c r="C16" s="53" t="s">
        <v>204</v>
      </c>
      <c r="D16" s="195">
        <v>5423</v>
      </c>
      <c r="E16" s="195">
        <v>10813</v>
      </c>
      <c r="F16" s="195">
        <v>135</v>
      </c>
      <c r="G16" s="195">
        <f>D16+E16+F16</f>
        <v>16371</v>
      </c>
      <c r="H16" s="187">
        <f>G16/G19*100</f>
        <v>3.5618476962540875</v>
      </c>
    </row>
    <row r="17" spans="2:8" ht="15.75" customHeight="1" x14ac:dyDescent="0.25">
      <c r="B17" s="52" t="s">
        <v>279</v>
      </c>
      <c r="C17" s="53" t="s">
        <v>205</v>
      </c>
      <c r="D17" s="195">
        <v>7464</v>
      </c>
      <c r="E17" s="195">
        <v>16924</v>
      </c>
      <c r="F17" s="195">
        <v>140</v>
      </c>
      <c r="G17" s="195">
        <f>D17+E17+F17</f>
        <v>24528</v>
      </c>
      <c r="H17" s="187">
        <f>G17/G19*100</f>
        <v>5.3365707833193001</v>
      </c>
    </row>
    <row r="18" spans="2:8" ht="15.75" customHeight="1" x14ac:dyDescent="0.25">
      <c r="B18" s="52" t="s">
        <v>280</v>
      </c>
      <c r="C18" s="53" t="s">
        <v>206</v>
      </c>
      <c r="D18" s="195">
        <v>783</v>
      </c>
      <c r="E18" s="195">
        <v>1381</v>
      </c>
      <c r="F18" s="195">
        <v>23</v>
      </c>
      <c r="G18" s="195">
        <f>D18+E18+F18</f>
        <v>2187</v>
      </c>
      <c r="H18" s="187">
        <f>G18/G19*100</f>
        <v>0.47582682253421837</v>
      </c>
    </row>
    <row r="19" spans="2:8" ht="15.75" x14ac:dyDescent="0.25">
      <c r="B19" s="443" t="s">
        <v>18</v>
      </c>
      <c r="C19" s="443"/>
      <c r="D19" s="204">
        <f>SUM(D15:D18)</f>
        <v>152972</v>
      </c>
      <c r="E19" s="204">
        <f>SUM(E15:E18)</f>
        <v>302534</v>
      </c>
      <c r="F19" s="204">
        <f>SUM(F15:F18)</f>
        <v>4115</v>
      </c>
      <c r="G19" s="204">
        <f>SUM(G15:G18)</f>
        <v>459621</v>
      </c>
      <c r="H19" s="190">
        <f>SUM(H15:H18)</f>
        <v>100</v>
      </c>
    </row>
  </sheetData>
  <mergeCells count="4">
    <mergeCell ref="B4:H4"/>
    <mergeCell ref="B13:C13"/>
    <mergeCell ref="B19:C19"/>
    <mergeCell ref="G3:H3"/>
  </mergeCells>
  <pageMargins left="0.7" right="0.7" top="0.75" bottom="0.75" header="0.3" footer="0.3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7F8A3-83BA-4634-9AEA-D78402273A02}">
  <dimension ref="B3:F13"/>
  <sheetViews>
    <sheetView workbookViewId="0"/>
  </sheetViews>
  <sheetFormatPr defaultRowHeight="15" x14ac:dyDescent="0.25"/>
  <cols>
    <col min="3" max="3" width="32.140625" customWidth="1"/>
    <col min="4" max="4" width="17" customWidth="1"/>
    <col min="5" max="5" width="16.5703125" customWidth="1"/>
    <col min="6" max="6" width="14.85546875" customWidth="1"/>
  </cols>
  <sheetData>
    <row r="3" spans="2:6" ht="16.5" thickBot="1" x14ac:dyDescent="0.3">
      <c r="F3" s="64" t="s">
        <v>271</v>
      </c>
    </row>
    <row r="4" spans="2:6" ht="16.5" thickTop="1" x14ac:dyDescent="0.25">
      <c r="B4" s="483" t="s">
        <v>1369</v>
      </c>
      <c r="C4" s="483"/>
      <c r="D4" s="483"/>
      <c r="E4" s="483"/>
      <c r="F4" s="483"/>
    </row>
    <row r="5" spans="2:6" ht="15.75" x14ac:dyDescent="0.25">
      <c r="B5" s="448" t="s">
        <v>100</v>
      </c>
      <c r="C5" s="448" t="s">
        <v>1206</v>
      </c>
      <c r="D5" s="487" t="s">
        <v>601</v>
      </c>
      <c r="E5" s="487" t="s">
        <v>602</v>
      </c>
      <c r="F5" s="118" t="s">
        <v>1</v>
      </c>
    </row>
    <row r="6" spans="2:6" ht="15.75" x14ac:dyDescent="0.25">
      <c r="B6" s="448"/>
      <c r="C6" s="448"/>
      <c r="D6" s="487"/>
      <c r="E6" s="487"/>
      <c r="F6" s="118" t="s">
        <v>48</v>
      </c>
    </row>
    <row r="7" spans="2:6" x14ac:dyDescent="0.25">
      <c r="B7" s="104">
        <v>1</v>
      </c>
      <c r="C7" s="104">
        <v>2</v>
      </c>
      <c r="D7" s="328" t="s">
        <v>742</v>
      </c>
      <c r="E7" s="328" t="s">
        <v>743</v>
      </c>
      <c r="F7" s="85">
        <v>5</v>
      </c>
    </row>
    <row r="8" spans="2:6" ht="15.75" x14ac:dyDescent="0.25">
      <c r="B8" s="87" t="s">
        <v>247</v>
      </c>
      <c r="C8" s="310" t="s">
        <v>213</v>
      </c>
      <c r="D8" s="195">
        <v>238172</v>
      </c>
      <c r="E8" s="195">
        <v>244065</v>
      </c>
      <c r="F8" s="376">
        <f>E8/D8*100</f>
        <v>102.47426229783518</v>
      </c>
    </row>
    <row r="9" spans="2:6" ht="15.75" x14ac:dyDescent="0.25">
      <c r="B9" s="98" t="s">
        <v>248</v>
      </c>
      <c r="C9" s="310" t="s">
        <v>1207</v>
      </c>
      <c r="D9" s="195">
        <v>164366</v>
      </c>
      <c r="E9" s="195">
        <v>166638</v>
      </c>
      <c r="F9" s="376">
        <f t="shared" ref="F9:F13" si="0">E9/D9*100</f>
        <v>101.38228100702091</v>
      </c>
    </row>
    <row r="10" spans="2:6" ht="15.75" x14ac:dyDescent="0.25">
      <c r="B10" s="87" t="s">
        <v>249</v>
      </c>
      <c r="C10" s="310" t="s">
        <v>319</v>
      </c>
      <c r="D10" s="195">
        <v>48561</v>
      </c>
      <c r="E10" s="195">
        <v>48676</v>
      </c>
      <c r="F10" s="376">
        <f t="shared" si="0"/>
        <v>100.23681555157431</v>
      </c>
    </row>
    <row r="11" spans="2:6" ht="15.75" x14ac:dyDescent="0.25">
      <c r="B11" s="87" t="s">
        <v>250</v>
      </c>
      <c r="C11" s="310" t="s">
        <v>214</v>
      </c>
      <c r="D11" s="195">
        <v>159</v>
      </c>
      <c r="E11" s="195">
        <v>140</v>
      </c>
      <c r="F11" s="376">
        <f t="shared" si="0"/>
        <v>88.050314465408803</v>
      </c>
    </row>
    <row r="12" spans="2:6" ht="15.75" x14ac:dyDescent="0.25">
      <c r="B12" s="87" t="s">
        <v>251</v>
      </c>
      <c r="C12" s="310" t="s">
        <v>46</v>
      </c>
      <c r="D12" s="195">
        <v>125</v>
      </c>
      <c r="E12" s="195">
        <v>102</v>
      </c>
      <c r="F12" s="376">
        <f t="shared" si="0"/>
        <v>81.599999999999994</v>
      </c>
    </row>
    <row r="13" spans="2:6" ht="15.75" x14ac:dyDescent="0.25">
      <c r="B13" s="480" t="s">
        <v>18</v>
      </c>
      <c r="C13" s="480"/>
      <c r="D13" s="357">
        <f>SUM(D8:D12)</f>
        <v>451383</v>
      </c>
      <c r="E13" s="357">
        <f>SUM(E8:E12)</f>
        <v>459621</v>
      </c>
      <c r="F13" s="377">
        <f t="shared" si="0"/>
        <v>101.82505765613681</v>
      </c>
    </row>
  </sheetData>
  <mergeCells count="6">
    <mergeCell ref="B13:C13"/>
    <mergeCell ref="B4:F4"/>
    <mergeCell ref="B5:B6"/>
    <mergeCell ref="C5:C6"/>
    <mergeCell ref="D5:D6"/>
    <mergeCell ref="E5:E6"/>
  </mergeCells>
  <pageMargins left="0.7" right="0.7" top="0.75" bottom="0.75" header="0.3" footer="0.3"/>
  <ignoredErrors>
    <ignoredError sqref="D7:E7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K11"/>
  <sheetViews>
    <sheetView workbookViewId="0"/>
  </sheetViews>
  <sheetFormatPr defaultColWidth="9.140625"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6" width="14.140625" style="2" customWidth="1"/>
    <col min="7" max="7" width="9.140625" style="2"/>
    <col min="8" max="8" width="13.140625" style="2" customWidth="1"/>
    <col min="9" max="9" width="14.28515625" style="2" customWidth="1"/>
    <col min="10" max="16384" width="9.140625" style="2"/>
  </cols>
  <sheetData>
    <row r="2" spans="2:11" x14ac:dyDescent="0.25">
      <c r="K2" s="67"/>
    </row>
    <row r="3" spans="2:11" ht="16.5" thickBot="1" x14ac:dyDescent="0.3">
      <c r="B3" s="65"/>
      <c r="C3" s="65"/>
      <c r="D3" s="65"/>
      <c r="E3" s="65"/>
      <c r="F3" s="65"/>
      <c r="G3" s="65"/>
      <c r="H3" s="65"/>
      <c r="I3" s="66" t="s">
        <v>380</v>
      </c>
    </row>
    <row r="4" spans="2:11" ht="24.95" customHeight="1" thickTop="1" x14ac:dyDescent="0.25">
      <c r="B4" s="447" t="s">
        <v>680</v>
      </c>
      <c r="C4" s="447"/>
      <c r="D4" s="447"/>
      <c r="E4" s="447"/>
      <c r="F4" s="447"/>
      <c r="G4" s="447"/>
      <c r="H4" s="447"/>
      <c r="I4" s="447"/>
    </row>
    <row r="5" spans="2:11" x14ac:dyDescent="0.25">
      <c r="B5" s="443" t="s">
        <v>100</v>
      </c>
      <c r="C5" s="443" t="s">
        <v>0</v>
      </c>
      <c r="D5" s="443" t="s">
        <v>601</v>
      </c>
      <c r="E5" s="443"/>
      <c r="F5" s="443"/>
      <c r="G5" s="443" t="s">
        <v>602</v>
      </c>
      <c r="H5" s="443"/>
      <c r="I5" s="443"/>
    </row>
    <row r="6" spans="2:11" ht="36.75" customHeight="1" x14ac:dyDescent="0.25">
      <c r="B6" s="443"/>
      <c r="C6" s="443"/>
      <c r="D6" s="50" t="s">
        <v>25</v>
      </c>
      <c r="E6" s="50" t="s">
        <v>379</v>
      </c>
      <c r="F6" s="50" t="s">
        <v>520</v>
      </c>
      <c r="G6" s="50" t="s">
        <v>25</v>
      </c>
      <c r="H6" s="50" t="s">
        <v>379</v>
      </c>
      <c r="I6" s="50" t="s">
        <v>520</v>
      </c>
    </row>
    <row r="7" spans="2:11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8">
        <v>8</v>
      </c>
    </row>
    <row r="8" spans="2:11" x14ac:dyDescent="0.25">
      <c r="B8" s="52" t="s">
        <v>247</v>
      </c>
      <c r="C8" s="53" t="s">
        <v>382</v>
      </c>
      <c r="D8" s="52">
        <v>1</v>
      </c>
      <c r="E8" s="58">
        <v>3.9391191093849023</v>
      </c>
      <c r="F8" s="58">
        <v>4</v>
      </c>
      <c r="G8" s="52">
        <v>1</v>
      </c>
      <c r="H8" s="58">
        <v>3.90921697873822</v>
      </c>
      <c r="I8" s="58">
        <v>3.983469652985633</v>
      </c>
    </row>
    <row r="9" spans="2:11" ht="31.5" x14ac:dyDescent="0.25">
      <c r="B9" s="52" t="s">
        <v>248</v>
      </c>
      <c r="C9" s="83" t="s">
        <v>381</v>
      </c>
      <c r="D9" s="52">
        <v>3</v>
      </c>
      <c r="E9" s="58">
        <v>12.4</v>
      </c>
      <c r="F9" s="58">
        <v>12.9</v>
      </c>
      <c r="G9" s="52">
        <v>3</v>
      </c>
      <c r="H9" s="58">
        <v>11.783263208209656</v>
      </c>
      <c r="I9" s="58">
        <v>13.131508305742175</v>
      </c>
    </row>
    <row r="10" spans="2:11" x14ac:dyDescent="0.25">
      <c r="B10" s="52" t="s">
        <v>249</v>
      </c>
      <c r="C10" s="53" t="s">
        <v>383</v>
      </c>
      <c r="D10" s="52">
        <v>9</v>
      </c>
      <c r="E10" s="58">
        <v>83.7149853113727</v>
      </c>
      <c r="F10" s="58">
        <v>83.1</v>
      </c>
      <c r="G10" s="52">
        <v>9</v>
      </c>
      <c r="H10" s="58">
        <v>84.307519813052124</v>
      </c>
      <c r="I10" s="58">
        <v>82.885022041272194</v>
      </c>
    </row>
    <row r="11" spans="2:11" ht="21.75" customHeight="1" x14ac:dyDescent="0.25">
      <c r="B11" s="443" t="s">
        <v>18</v>
      </c>
      <c r="C11" s="443"/>
      <c r="D11" s="50">
        <f t="shared" ref="D11:H11" si="0">SUM(D8:D10)</f>
        <v>13</v>
      </c>
      <c r="E11" s="185">
        <f t="shared" si="0"/>
        <v>100.0541044207576</v>
      </c>
      <c r="F11" s="185">
        <f t="shared" si="0"/>
        <v>100</v>
      </c>
      <c r="G11" s="50">
        <f t="shared" si="0"/>
        <v>13</v>
      </c>
      <c r="H11" s="59">
        <f t="shared" si="0"/>
        <v>100</v>
      </c>
      <c r="I11" s="59">
        <f>SUM(I8:I10)</f>
        <v>100</v>
      </c>
    </row>
  </sheetData>
  <mergeCells count="6">
    <mergeCell ref="B11:C11"/>
    <mergeCell ref="B4:I4"/>
    <mergeCell ref="B5:B6"/>
    <mergeCell ref="D5:F5"/>
    <mergeCell ref="G5:I5"/>
    <mergeCell ref="C5:C6"/>
  </mergeCells>
  <pageMargins left="0.7" right="0.7" top="0.75" bottom="0.75" header="0.3" footer="0.3"/>
  <pageSetup orientation="portrait" r:id="rId1"/>
  <ignoredErrors>
    <ignoredError sqref="G11:I11 D11:F11" formulaRange="1"/>
  </ignoredErrors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760A-932C-4E58-8FE1-5B5D5755BB92}">
  <dimension ref="B3:M24"/>
  <sheetViews>
    <sheetView workbookViewId="0"/>
  </sheetViews>
  <sheetFormatPr defaultRowHeight="15" x14ac:dyDescent="0.25"/>
  <cols>
    <col min="3" max="3" width="15" customWidth="1"/>
    <col min="4" max="4" width="17.5703125" customWidth="1"/>
    <col min="5" max="5" width="18.28515625" customWidth="1"/>
    <col min="6" max="6" width="14.42578125" customWidth="1"/>
    <col min="7" max="7" width="15.140625" customWidth="1"/>
    <col min="8" max="9" width="16.7109375" customWidth="1"/>
    <col min="10" max="10" width="15.28515625" customWidth="1"/>
    <col min="11" max="11" width="15.5703125" customWidth="1"/>
    <col min="12" max="12" width="12.7109375" customWidth="1"/>
    <col min="13" max="13" width="14.42578125" customWidth="1"/>
  </cols>
  <sheetData>
    <row r="3" spans="2:13" ht="16.5" thickBot="1" x14ac:dyDescent="0.3">
      <c r="M3" s="62" t="s">
        <v>271</v>
      </c>
    </row>
    <row r="4" spans="2:13" ht="16.5" thickTop="1" x14ac:dyDescent="0.25">
      <c r="B4" s="477" t="s">
        <v>1370</v>
      </c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2:13" ht="15.75" x14ac:dyDescent="0.25">
      <c r="B5" s="491" t="s">
        <v>100</v>
      </c>
      <c r="C5" s="228"/>
      <c r="D5" s="491" t="s">
        <v>281</v>
      </c>
      <c r="E5" s="491" t="s">
        <v>282</v>
      </c>
      <c r="F5" s="491" t="s">
        <v>283</v>
      </c>
      <c r="G5" s="491" t="s">
        <v>284</v>
      </c>
      <c r="H5" s="491" t="s">
        <v>285</v>
      </c>
      <c r="I5" s="491" t="s">
        <v>286</v>
      </c>
      <c r="J5" s="491" t="s">
        <v>287</v>
      </c>
      <c r="K5" s="491"/>
      <c r="L5" s="491"/>
      <c r="M5" s="491"/>
    </row>
    <row r="6" spans="2:13" ht="69.75" customHeight="1" x14ac:dyDescent="0.25">
      <c r="B6" s="491"/>
      <c r="C6" s="228" t="s">
        <v>288</v>
      </c>
      <c r="D6" s="491"/>
      <c r="E6" s="491"/>
      <c r="F6" s="491"/>
      <c r="G6" s="491"/>
      <c r="H6" s="491"/>
      <c r="I6" s="491"/>
      <c r="J6" s="228" t="s">
        <v>289</v>
      </c>
      <c r="K6" s="228" t="s">
        <v>291</v>
      </c>
      <c r="L6" s="228" t="s">
        <v>321</v>
      </c>
      <c r="M6" s="228" t="s">
        <v>290</v>
      </c>
    </row>
    <row r="7" spans="2:13" x14ac:dyDescent="0.25">
      <c r="B7" s="231">
        <v>1</v>
      </c>
      <c r="C7" s="230">
        <v>2</v>
      </c>
      <c r="D7" s="231">
        <v>3</v>
      </c>
      <c r="E7" s="231">
        <v>4</v>
      </c>
      <c r="F7" s="231">
        <v>5</v>
      </c>
      <c r="G7" s="231">
        <v>6</v>
      </c>
      <c r="H7" s="231">
        <v>7</v>
      </c>
      <c r="I7" s="231">
        <v>8</v>
      </c>
      <c r="J7" s="231" t="s">
        <v>455</v>
      </c>
      <c r="K7" s="231" t="s">
        <v>454</v>
      </c>
      <c r="L7" s="231">
        <v>11</v>
      </c>
      <c r="M7" s="231" t="s">
        <v>322</v>
      </c>
    </row>
    <row r="8" spans="2:13" ht="15.75" x14ac:dyDescent="0.25">
      <c r="B8" s="239" t="s">
        <v>247</v>
      </c>
      <c r="C8" s="232" t="s">
        <v>209</v>
      </c>
      <c r="D8" s="261">
        <v>5.0000000000000001E-3</v>
      </c>
      <c r="E8" s="261">
        <v>5.0000000000000001E-3</v>
      </c>
      <c r="F8" s="233">
        <v>455147</v>
      </c>
      <c r="G8" s="233">
        <v>181</v>
      </c>
      <c r="H8" s="233">
        <v>73760</v>
      </c>
      <c r="I8" s="233">
        <v>55</v>
      </c>
      <c r="J8" s="233">
        <f>H8*D8</f>
        <v>368.8</v>
      </c>
      <c r="K8" s="233">
        <f>I8*E8</f>
        <v>0.27500000000000002</v>
      </c>
      <c r="L8" s="233">
        <v>4309</v>
      </c>
      <c r="M8" s="233">
        <f>J8+K8+L8</f>
        <v>4678.0749999999998</v>
      </c>
    </row>
    <row r="9" spans="2:13" ht="15.75" x14ac:dyDescent="0.25">
      <c r="B9" s="239" t="s">
        <v>248</v>
      </c>
      <c r="C9" s="232" t="s">
        <v>210</v>
      </c>
      <c r="D9" s="238">
        <v>0.1</v>
      </c>
      <c r="E9" s="238">
        <v>0.1</v>
      </c>
      <c r="F9" s="233">
        <v>3410</v>
      </c>
      <c r="G9" s="233">
        <v>0</v>
      </c>
      <c r="H9" s="233">
        <v>277</v>
      </c>
      <c r="I9" s="233">
        <v>0</v>
      </c>
      <c r="J9" s="233">
        <f>H9*D9</f>
        <v>27.700000000000003</v>
      </c>
      <c r="K9" s="233">
        <f t="shared" ref="J9:K12" si="0">I9*E9</f>
        <v>0</v>
      </c>
      <c r="L9" s="233">
        <v>70</v>
      </c>
      <c r="M9" s="233">
        <f t="shared" ref="M9:M12" si="1">J9+K9+L9</f>
        <v>97.7</v>
      </c>
    </row>
    <row r="10" spans="2:13" ht="15.75" x14ac:dyDescent="0.25">
      <c r="B10" s="239" t="s">
        <v>249</v>
      </c>
      <c r="C10" s="232" t="s">
        <v>211</v>
      </c>
      <c r="D10" s="238">
        <v>0.5</v>
      </c>
      <c r="E10" s="238">
        <v>0.5</v>
      </c>
      <c r="F10" s="233">
        <v>653</v>
      </c>
      <c r="G10" s="233">
        <v>0</v>
      </c>
      <c r="H10" s="233">
        <v>458</v>
      </c>
      <c r="I10" s="233">
        <v>0</v>
      </c>
      <c r="J10" s="233">
        <f>H10*D10</f>
        <v>229</v>
      </c>
      <c r="K10" s="233">
        <f t="shared" si="0"/>
        <v>0</v>
      </c>
      <c r="L10" s="233">
        <v>17</v>
      </c>
      <c r="M10" s="233">
        <f t="shared" si="1"/>
        <v>246</v>
      </c>
    </row>
    <row r="11" spans="2:13" ht="15.75" x14ac:dyDescent="0.25">
      <c r="B11" s="239" t="s">
        <v>250</v>
      </c>
      <c r="C11" s="232" t="s">
        <v>196</v>
      </c>
      <c r="D11" s="238">
        <v>1</v>
      </c>
      <c r="E11" s="238">
        <v>0.75</v>
      </c>
      <c r="F11" s="233">
        <v>188</v>
      </c>
      <c r="G11" s="233">
        <v>0</v>
      </c>
      <c r="H11" s="233">
        <v>173</v>
      </c>
      <c r="I11" s="233">
        <v>0</v>
      </c>
      <c r="J11" s="233">
        <f t="shared" si="0"/>
        <v>173</v>
      </c>
      <c r="K11" s="233">
        <f t="shared" si="0"/>
        <v>0</v>
      </c>
      <c r="L11" s="233">
        <v>0</v>
      </c>
      <c r="M11" s="233">
        <f t="shared" si="1"/>
        <v>173</v>
      </c>
    </row>
    <row r="12" spans="2:13" ht="15.75" x14ac:dyDescent="0.25">
      <c r="B12" s="239" t="s">
        <v>251</v>
      </c>
      <c r="C12" s="232" t="s">
        <v>212</v>
      </c>
      <c r="D12" s="238">
        <v>1</v>
      </c>
      <c r="E12" s="238">
        <v>1</v>
      </c>
      <c r="F12" s="233">
        <v>42</v>
      </c>
      <c r="G12" s="233">
        <v>0</v>
      </c>
      <c r="H12" s="233">
        <v>41</v>
      </c>
      <c r="I12" s="233">
        <v>0</v>
      </c>
      <c r="J12" s="233">
        <f t="shared" si="0"/>
        <v>41</v>
      </c>
      <c r="K12" s="233">
        <f t="shared" si="0"/>
        <v>0</v>
      </c>
      <c r="L12" s="233">
        <v>0</v>
      </c>
      <c r="M12" s="233">
        <f t="shared" si="1"/>
        <v>41</v>
      </c>
    </row>
    <row r="13" spans="2:13" ht="15.75" x14ac:dyDescent="0.25">
      <c r="B13" s="491" t="s">
        <v>18</v>
      </c>
      <c r="C13" s="491"/>
      <c r="D13" s="491"/>
      <c r="E13" s="491"/>
      <c r="F13" s="236">
        <f t="shared" ref="F13:K13" si="2">SUM(F8:F12)</f>
        <v>459440</v>
      </c>
      <c r="G13" s="236">
        <f t="shared" si="2"/>
        <v>181</v>
      </c>
      <c r="H13" s="236">
        <f t="shared" si="2"/>
        <v>74709</v>
      </c>
      <c r="I13" s="236">
        <f t="shared" si="2"/>
        <v>55</v>
      </c>
      <c r="J13" s="236">
        <f>SUM(J8:J12)</f>
        <v>839.5</v>
      </c>
      <c r="K13" s="236">
        <f t="shared" si="2"/>
        <v>0.27500000000000002</v>
      </c>
      <c r="L13" s="236">
        <f>SUM(L8:L12)</f>
        <v>4396</v>
      </c>
      <c r="M13" s="236">
        <f>J13+K13+L13</f>
        <v>5235.7749999999996</v>
      </c>
    </row>
    <row r="17" spans="2:6" ht="16.5" thickBot="1" x14ac:dyDescent="0.3">
      <c r="F17" s="62" t="s">
        <v>271</v>
      </c>
    </row>
    <row r="18" spans="2:6" ht="38.25" customHeight="1" thickTop="1" x14ac:dyDescent="0.25">
      <c r="B18" s="483" t="s">
        <v>1384</v>
      </c>
      <c r="C18" s="483"/>
      <c r="D18" s="483"/>
      <c r="E18" s="483"/>
      <c r="F18" s="483"/>
    </row>
    <row r="19" spans="2:6" x14ac:dyDescent="0.25">
      <c r="B19" s="474" t="s">
        <v>450</v>
      </c>
      <c r="C19" s="474" t="s">
        <v>1208</v>
      </c>
      <c r="D19" s="474"/>
      <c r="E19" s="474" t="s">
        <v>601</v>
      </c>
      <c r="F19" s="474" t="s">
        <v>602</v>
      </c>
    </row>
    <row r="20" spans="2:6" x14ac:dyDescent="0.25">
      <c r="B20" s="474"/>
      <c r="C20" s="474"/>
      <c r="D20" s="474"/>
      <c r="E20" s="474"/>
      <c r="F20" s="474"/>
    </row>
    <row r="21" spans="2:6" x14ac:dyDescent="0.25">
      <c r="B21" s="125">
        <v>1</v>
      </c>
      <c r="C21" s="125">
        <v>2</v>
      </c>
      <c r="D21" s="125">
        <v>3</v>
      </c>
      <c r="E21" s="125">
        <v>4</v>
      </c>
      <c r="F21" s="125">
        <v>5</v>
      </c>
    </row>
    <row r="22" spans="2:6" ht="15.75" x14ac:dyDescent="0.25">
      <c r="B22" s="378" t="s">
        <v>247</v>
      </c>
      <c r="C22" s="488" t="s">
        <v>1209</v>
      </c>
      <c r="D22" s="488"/>
      <c r="E22" s="105">
        <v>37275</v>
      </c>
      <c r="F22" s="105">
        <v>36104</v>
      </c>
    </row>
    <row r="23" spans="2:6" ht="15.75" x14ac:dyDescent="0.25">
      <c r="B23" s="98" t="s">
        <v>248</v>
      </c>
      <c r="C23" s="489" t="s">
        <v>290</v>
      </c>
      <c r="D23" s="489"/>
      <c r="E23" s="141">
        <v>2103</v>
      </c>
      <c r="F23" s="195">
        <v>2008</v>
      </c>
    </row>
    <row r="24" spans="2:6" ht="15.75" x14ac:dyDescent="0.25">
      <c r="B24" s="118" t="s">
        <v>249</v>
      </c>
      <c r="C24" s="490" t="s">
        <v>1210</v>
      </c>
      <c r="D24" s="490"/>
      <c r="E24" s="381">
        <f>E22-E23</f>
        <v>35172</v>
      </c>
      <c r="F24" s="381">
        <f>F22-F23</f>
        <v>34096</v>
      </c>
    </row>
  </sheetData>
  <mergeCells count="18">
    <mergeCell ref="B4:M4"/>
    <mergeCell ref="B5:B6"/>
    <mergeCell ref="D5:D6"/>
    <mergeCell ref="E5:E6"/>
    <mergeCell ref="F5:F6"/>
    <mergeCell ref="G5:G6"/>
    <mergeCell ref="H5:H6"/>
    <mergeCell ref="I5:I6"/>
    <mergeCell ref="J5:M5"/>
    <mergeCell ref="C22:D22"/>
    <mergeCell ref="C23:D23"/>
    <mergeCell ref="C24:D24"/>
    <mergeCell ref="B13:E13"/>
    <mergeCell ref="B18:F18"/>
    <mergeCell ref="B19:B20"/>
    <mergeCell ref="C19:D20"/>
    <mergeCell ref="E19:E20"/>
    <mergeCell ref="F19:F20"/>
  </mergeCells>
  <pageMargins left="0.7" right="0.7" top="0.75" bottom="0.75" header="0.3" footer="0.3"/>
  <ignoredErrors>
    <ignoredError sqref="F13:L13" formulaRange="1"/>
  </ignoredErrors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44C6-82C8-4D66-83AB-77E480FF0F71}">
  <dimension ref="B3:I20"/>
  <sheetViews>
    <sheetView workbookViewId="0"/>
  </sheetViews>
  <sheetFormatPr defaultRowHeight="15" x14ac:dyDescent="0.25"/>
  <cols>
    <col min="2" max="2" width="8.7109375" customWidth="1"/>
    <col min="3" max="3" width="30" customWidth="1"/>
    <col min="4" max="4" width="15.7109375" customWidth="1"/>
    <col min="5" max="5" width="18.7109375" customWidth="1"/>
    <col min="6" max="6" width="15.140625" customWidth="1"/>
    <col min="7" max="7" width="18.7109375" customWidth="1"/>
    <col min="8" max="8" width="10.28515625" customWidth="1"/>
    <col min="9" max="9" width="11" customWidth="1"/>
  </cols>
  <sheetData>
    <row r="3" spans="2:9" ht="15.75" thickBot="1" x14ac:dyDescent="0.3"/>
    <row r="4" spans="2:9" ht="16.5" thickTop="1" x14ac:dyDescent="0.25">
      <c r="B4" s="483" t="s">
        <v>1372</v>
      </c>
      <c r="C4" s="483"/>
      <c r="D4" s="483"/>
      <c r="E4" s="483"/>
      <c r="F4" s="483"/>
      <c r="G4" s="483"/>
      <c r="H4" s="483"/>
      <c r="I4" s="483"/>
    </row>
    <row r="5" spans="2:9" ht="31.5" customHeight="1" x14ac:dyDescent="0.25">
      <c r="B5" s="474" t="s">
        <v>100</v>
      </c>
      <c r="C5" s="474" t="s">
        <v>1206</v>
      </c>
      <c r="D5" s="474" t="s">
        <v>601</v>
      </c>
      <c r="E5" s="474"/>
      <c r="F5" s="474" t="s">
        <v>602</v>
      </c>
      <c r="G5" s="474"/>
      <c r="H5" s="450" t="s">
        <v>751</v>
      </c>
      <c r="I5" s="450" t="s">
        <v>1213</v>
      </c>
    </row>
    <row r="6" spans="2:9" ht="77.25" customHeight="1" x14ac:dyDescent="0.25">
      <c r="B6" s="474"/>
      <c r="C6" s="474"/>
      <c r="D6" s="84" t="s">
        <v>1211</v>
      </c>
      <c r="E6" s="84" t="s">
        <v>1212</v>
      </c>
      <c r="F6" s="84" t="s">
        <v>1211</v>
      </c>
      <c r="G6" s="84" t="s">
        <v>1212</v>
      </c>
      <c r="H6" s="450"/>
      <c r="I6" s="450"/>
    </row>
    <row r="7" spans="2:9" x14ac:dyDescent="0.25">
      <c r="B7" s="125">
        <v>1</v>
      </c>
      <c r="C7" s="125">
        <v>2</v>
      </c>
      <c r="D7" s="125">
        <v>3</v>
      </c>
      <c r="E7" s="125">
        <v>4</v>
      </c>
      <c r="F7" s="125">
        <v>5</v>
      </c>
      <c r="G7" s="125">
        <v>6</v>
      </c>
      <c r="H7" s="125">
        <v>7</v>
      </c>
      <c r="I7" s="125">
        <v>8</v>
      </c>
    </row>
    <row r="8" spans="2:9" ht="15.75" x14ac:dyDescent="0.25">
      <c r="B8" s="378" t="s">
        <v>247</v>
      </c>
      <c r="C8" s="310" t="s">
        <v>213</v>
      </c>
      <c r="D8" s="105">
        <v>53</v>
      </c>
      <c r="E8" s="105">
        <v>1042</v>
      </c>
      <c r="F8" s="105">
        <v>85</v>
      </c>
      <c r="G8" s="105">
        <v>1671</v>
      </c>
      <c r="H8" s="105">
        <f>F8/D8*100</f>
        <v>160.37735849056605</v>
      </c>
      <c r="I8" s="196">
        <f>G8/E8*100</f>
        <v>160.36468330134358</v>
      </c>
    </row>
    <row r="9" spans="2:9" ht="15.75" x14ac:dyDescent="0.25">
      <c r="B9" s="378" t="s">
        <v>248</v>
      </c>
      <c r="C9" s="310" t="s">
        <v>1207</v>
      </c>
      <c r="D9" s="105">
        <v>17</v>
      </c>
      <c r="E9" s="105">
        <v>276</v>
      </c>
      <c r="F9" s="105">
        <v>22</v>
      </c>
      <c r="G9" s="105">
        <v>426</v>
      </c>
      <c r="H9" s="105">
        <f t="shared" ref="H9:H11" si="0">F9/D9*100</f>
        <v>129.41176470588235</v>
      </c>
      <c r="I9" s="196">
        <f t="shared" ref="I9:I10" si="1">G9/E9*100</f>
        <v>154.34782608695653</v>
      </c>
    </row>
    <row r="10" spans="2:9" ht="15.75" x14ac:dyDescent="0.25">
      <c r="B10" s="378" t="s">
        <v>249</v>
      </c>
      <c r="C10" s="310" t="s">
        <v>319</v>
      </c>
      <c r="D10" s="105">
        <v>3</v>
      </c>
      <c r="E10" s="105">
        <v>520</v>
      </c>
      <c r="F10" s="105">
        <v>3</v>
      </c>
      <c r="G10" s="105">
        <v>520</v>
      </c>
      <c r="H10" s="105">
        <f t="shared" si="0"/>
        <v>100</v>
      </c>
      <c r="I10" s="196">
        <f t="shared" si="1"/>
        <v>100</v>
      </c>
    </row>
    <row r="11" spans="2:9" ht="15.75" x14ac:dyDescent="0.25">
      <c r="B11" s="382"/>
      <c r="C11" s="256" t="s">
        <v>18</v>
      </c>
      <c r="D11" s="106">
        <f>SUM(D8:D10)</f>
        <v>73</v>
      </c>
      <c r="E11" s="106">
        <f>SUM(E8:E10)</f>
        <v>1838</v>
      </c>
      <c r="F11" s="106">
        <f>SUM(F8:F10)</f>
        <v>110</v>
      </c>
      <c r="G11" s="106">
        <f>SUM(G8:G10)</f>
        <v>2617</v>
      </c>
      <c r="H11" s="106">
        <f t="shared" si="0"/>
        <v>150.68493150684932</v>
      </c>
      <c r="I11" s="198">
        <f>G11/E11*100</f>
        <v>142.38302502720347</v>
      </c>
    </row>
    <row r="12" spans="2:9" x14ac:dyDescent="0.25">
      <c r="C12" s="24"/>
      <c r="D12" s="24"/>
      <c r="E12" s="24"/>
      <c r="F12" s="24"/>
      <c r="G12" s="24"/>
      <c r="H12" s="24"/>
      <c r="I12" s="24"/>
    </row>
    <row r="13" spans="2:9" ht="15.75" thickBot="1" x14ac:dyDescent="0.3"/>
    <row r="14" spans="2:9" ht="32.25" customHeight="1" thickTop="1" x14ac:dyDescent="0.25">
      <c r="B14" s="483" t="s">
        <v>1373</v>
      </c>
      <c r="C14" s="483"/>
      <c r="D14" s="483"/>
      <c r="E14" s="483"/>
      <c r="F14" s="483"/>
      <c r="G14" s="483"/>
      <c r="H14" s="483"/>
      <c r="I14" s="483"/>
    </row>
    <row r="15" spans="2:9" ht="31.5" customHeight="1" x14ac:dyDescent="0.25">
      <c r="B15" s="474" t="s">
        <v>100</v>
      </c>
      <c r="C15" s="474" t="s">
        <v>1206</v>
      </c>
      <c r="D15" s="474" t="s">
        <v>601</v>
      </c>
      <c r="E15" s="474"/>
      <c r="F15" s="474" t="s">
        <v>602</v>
      </c>
      <c r="G15" s="474"/>
      <c r="H15" s="450" t="s">
        <v>751</v>
      </c>
      <c r="I15" s="450" t="s">
        <v>1213</v>
      </c>
    </row>
    <row r="16" spans="2:9" ht="94.5" customHeight="1" x14ac:dyDescent="0.25">
      <c r="B16" s="474"/>
      <c r="C16" s="474"/>
      <c r="D16" s="84" t="s">
        <v>1211</v>
      </c>
      <c r="E16" s="84" t="s">
        <v>1212</v>
      </c>
      <c r="F16" s="84" t="s">
        <v>1211</v>
      </c>
      <c r="G16" s="84" t="s">
        <v>1212</v>
      </c>
      <c r="H16" s="450"/>
      <c r="I16" s="450"/>
    </row>
    <row r="17" spans="2:9" x14ac:dyDescent="0.25">
      <c r="B17" s="125">
        <v>1</v>
      </c>
      <c r="C17" s="125">
        <v>2</v>
      </c>
      <c r="D17" s="125">
        <v>3</v>
      </c>
      <c r="E17" s="125">
        <v>4</v>
      </c>
      <c r="F17" s="125">
        <v>5</v>
      </c>
      <c r="G17" s="125">
        <v>6</v>
      </c>
      <c r="H17" s="125">
        <v>7</v>
      </c>
      <c r="I17" s="125">
        <v>8</v>
      </c>
    </row>
    <row r="18" spans="2:9" ht="15.75" x14ac:dyDescent="0.25">
      <c r="B18" s="378" t="s">
        <v>247</v>
      </c>
      <c r="C18" s="379" t="s">
        <v>213</v>
      </c>
      <c r="D18" s="133">
        <v>1</v>
      </c>
      <c r="E18" s="133">
        <v>2</v>
      </c>
      <c r="F18" s="133">
        <v>1</v>
      </c>
      <c r="G18" s="133">
        <v>2</v>
      </c>
      <c r="H18" s="380">
        <f t="shared" ref="H18:I20" si="2">F18/D18*100</f>
        <v>100</v>
      </c>
      <c r="I18" s="378">
        <f t="shared" si="2"/>
        <v>100</v>
      </c>
    </row>
    <row r="19" spans="2:9" ht="15.75" x14ac:dyDescent="0.25">
      <c r="B19" s="98" t="s">
        <v>248</v>
      </c>
      <c r="C19" s="95" t="s">
        <v>214</v>
      </c>
      <c r="D19" s="95">
        <v>1</v>
      </c>
      <c r="E19" s="95">
        <v>0</v>
      </c>
      <c r="F19" s="95">
        <v>1</v>
      </c>
      <c r="G19" s="95">
        <v>0</v>
      </c>
      <c r="H19" s="380">
        <f t="shared" si="2"/>
        <v>100</v>
      </c>
      <c r="I19" s="378" t="s">
        <v>80</v>
      </c>
    </row>
    <row r="20" spans="2:9" ht="15.75" x14ac:dyDescent="0.25">
      <c r="B20" s="383"/>
      <c r="C20" s="118" t="s">
        <v>18</v>
      </c>
      <c r="D20" s="381">
        <f>SUM(D18:D19)</f>
        <v>2</v>
      </c>
      <c r="E20" s="381">
        <f>SUM(E18:E19)</f>
        <v>2</v>
      </c>
      <c r="F20" s="381">
        <f>SUM(F18:F19)</f>
        <v>2</v>
      </c>
      <c r="G20" s="381">
        <f>SUM(G18:G19)</f>
        <v>2</v>
      </c>
      <c r="H20" s="384">
        <f t="shared" si="2"/>
        <v>100</v>
      </c>
      <c r="I20" s="256">
        <f t="shared" si="2"/>
        <v>100</v>
      </c>
    </row>
  </sheetData>
  <mergeCells count="14">
    <mergeCell ref="I5:I6"/>
    <mergeCell ref="H15:H16"/>
    <mergeCell ref="I15:I16"/>
    <mergeCell ref="B4:I4"/>
    <mergeCell ref="B5:B6"/>
    <mergeCell ref="C5:C6"/>
    <mergeCell ref="D5:E5"/>
    <mergeCell ref="F5:G5"/>
    <mergeCell ref="B14:I14"/>
    <mergeCell ref="B15:B16"/>
    <mergeCell ref="C15:C16"/>
    <mergeCell ref="D15:E15"/>
    <mergeCell ref="F15:G15"/>
    <mergeCell ref="H5:H6"/>
  </mergeCells>
  <pageMargins left="0.7" right="0.7" top="0.75" bottom="0.75" header="0.3" footer="0.3"/>
  <ignoredErrors>
    <ignoredError sqref="D11:G11 D20:H20" formulaRange="1"/>
  </ignoredErrors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83D5-03F2-477B-84C8-28026E99820E}">
  <dimension ref="B3:I47"/>
  <sheetViews>
    <sheetView workbookViewId="0">
      <selection activeCell="I18" sqref="I18"/>
    </sheetView>
  </sheetViews>
  <sheetFormatPr defaultRowHeight="15" x14ac:dyDescent="0.25"/>
  <cols>
    <col min="2" max="2" width="8.140625" customWidth="1"/>
    <col min="3" max="3" width="7.5703125" customWidth="1"/>
    <col min="4" max="4" width="49.85546875" customWidth="1"/>
    <col min="5" max="5" width="16.28515625" customWidth="1"/>
    <col min="6" max="6" width="9.7109375" customWidth="1"/>
    <col min="7" max="7" width="15.28515625" customWidth="1"/>
    <col min="8" max="8" width="8.7109375" customWidth="1"/>
    <col min="9" max="9" width="9.140625" style="422"/>
  </cols>
  <sheetData>
    <row r="3" spans="2:9" ht="16.5" thickBot="1" x14ac:dyDescent="0.3">
      <c r="I3" s="431" t="s">
        <v>271</v>
      </c>
    </row>
    <row r="4" spans="2:9" ht="16.5" thickTop="1" x14ac:dyDescent="0.25">
      <c r="B4" s="483" t="s">
        <v>1374</v>
      </c>
      <c r="C4" s="483"/>
      <c r="D4" s="483"/>
      <c r="E4" s="483"/>
      <c r="F4" s="483"/>
      <c r="G4" s="483"/>
      <c r="H4" s="483"/>
      <c r="I4" s="483"/>
    </row>
    <row r="5" spans="2:9" ht="15.75" x14ac:dyDescent="0.25">
      <c r="B5" s="443" t="s">
        <v>100</v>
      </c>
      <c r="C5" s="50"/>
      <c r="D5" s="448" t="s">
        <v>56</v>
      </c>
      <c r="E5" s="443" t="s">
        <v>608</v>
      </c>
      <c r="F5" s="443" t="s">
        <v>1214</v>
      </c>
      <c r="G5" s="443" t="s">
        <v>609</v>
      </c>
      <c r="H5" s="443" t="s">
        <v>20</v>
      </c>
      <c r="I5" s="185" t="s">
        <v>1</v>
      </c>
    </row>
    <row r="6" spans="2:9" ht="15.75" x14ac:dyDescent="0.25">
      <c r="B6" s="443"/>
      <c r="C6" s="50"/>
      <c r="D6" s="448"/>
      <c r="E6" s="443"/>
      <c r="F6" s="443"/>
      <c r="G6" s="443"/>
      <c r="H6" s="443"/>
      <c r="I6" s="185" t="s">
        <v>333</v>
      </c>
    </row>
    <row r="7" spans="2:9" x14ac:dyDescent="0.25">
      <c r="B7" s="48">
        <v>1</v>
      </c>
      <c r="C7" s="48"/>
      <c r="D7" s="104">
        <v>2</v>
      </c>
      <c r="E7" s="104">
        <v>3</v>
      </c>
      <c r="F7" s="104">
        <v>4</v>
      </c>
      <c r="G7" s="85">
        <v>5</v>
      </c>
      <c r="H7" s="85">
        <v>6</v>
      </c>
      <c r="I7" s="432">
        <v>7</v>
      </c>
    </row>
    <row r="8" spans="2:9" ht="15.75" customHeight="1" x14ac:dyDescent="0.25">
      <c r="B8" s="209" t="s">
        <v>1215</v>
      </c>
      <c r="C8" s="216"/>
      <c r="D8" s="385" t="s">
        <v>1216</v>
      </c>
      <c r="E8" s="199"/>
      <c r="F8" s="87"/>
      <c r="G8" s="95"/>
      <c r="H8" s="95"/>
      <c r="I8" s="433"/>
    </row>
    <row r="9" spans="2:9" ht="15.75" customHeight="1" x14ac:dyDescent="0.25">
      <c r="B9" s="170" t="s">
        <v>1217</v>
      </c>
      <c r="C9" s="170"/>
      <c r="D9" s="219" t="s">
        <v>1218</v>
      </c>
      <c r="E9" s="204">
        <f>SUM(E10:E13)</f>
        <v>8022</v>
      </c>
      <c r="F9" s="158">
        <f>E9/(E9+E20)*100</f>
        <v>49.546044098573283</v>
      </c>
      <c r="G9" s="204">
        <f>SUM(G10:G13)</f>
        <v>7879</v>
      </c>
      <c r="H9" s="158">
        <f>G9/(G9+G20)*100</f>
        <v>46.823557378023416</v>
      </c>
      <c r="I9" s="439">
        <f>G9/E9*100</f>
        <v>98.217402144103716</v>
      </c>
    </row>
    <row r="10" spans="2:9" ht="15.75" x14ac:dyDescent="0.25">
      <c r="B10" s="87"/>
      <c r="C10" s="87" t="s">
        <v>1219</v>
      </c>
      <c r="D10" s="199" t="s">
        <v>396</v>
      </c>
      <c r="E10" s="195">
        <v>20</v>
      </c>
      <c r="F10" s="187">
        <f>E10/(E9+E20)*100</f>
        <v>0.12352541535420912</v>
      </c>
      <c r="G10" s="195">
        <v>14</v>
      </c>
      <c r="H10" s="187">
        <f>G10/(G9+G20)*100</f>
        <v>8.3199619658881563E-2</v>
      </c>
      <c r="I10" s="433">
        <f t="shared" ref="I10:I47" si="0">G10/E10*100</f>
        <v>70</v>
      </c>
    </row>
    <row r="11" spans="2:9" ht="15.75" x14ac:dyDescent="0.25">
      <c r="B11" s="87"/>
      <c r="C11" s="87" t="s">
        <v>1220</v>
      </c>
      <c r="D11" s="199" t="s">
        <v>1221</v>
      </c>
      <c r="E11" s="195">
        <v>7084</v>
      </c>
      <c r="F11" s="187">
        <f>E11/(E9+E20)*100</f>
        <v>43.752702118460874</v>
      </c>
      <c r="G11" s="195">
        <v>6734</v>
      </c>
      <c r="H11" s="187">
        <f>G11/(G9+G20)*100</f>
        <v>40.019017055922028</v>
      </c>
      <c r="I11" s="433">
        <f t="shared" si="0"/>
        <v>95.059288537549406</v>
      </c>
    </row>
    <row r="12" spans="2:9" ht="15.75" x14ac:dyDescent="0.25">
      <c r="B12" s="87"/>
      <c r="C12" s="87" t="s">
        <v>1222</v>
      </c>
      <c r="D12" s="199" t="s">
        <v>1223</v>
      </c>
      <c r="E12" s="195">
        <v>359</v>
      </c>
      <c r="F12" s="187">
        <f>E12/(E9+E20)*100</f>
        <v>2.217281205608054</v>
      </c>
      <c r="G12" s="195">
        <v>394</v>
      </c>
      <c r="H12" s="187">
        <f>G12/(G9+G20)*100</f>
        <v>2.3414750103999524</v>
      </c>
      <c r="I12" s="433">
        <f>G12/E12*100</f>
        <v>109.74930362116993</v>
      </c>
    </row>
    <row r="13" spans="2:9" ht="15.75" x14ac:dyDescent="0.25">
      <c r="B13" s="87"/>
      <c r="C13" s="87" t="s">
        <v>1224</v>
      </c>
      <c r="D13" s="199" t="s">
        <v>1225</v>
      </c>
      <c r="E13" s="195">
        <v>559</v>
      </c>
      <c r="F13" s="187">
        <f>E13/(E9+E20)*100</f>
        <v>3.4525353591501453</v>
      </c>
      <c r="G13" s="195">
        <v>737</v>
      </c>
      <c r="H13" s="187">
        <f>G13/(G9+G20)*100</f>
        <v>4.3798656920425501</v>
      </c>
      <c r="I13" s="433">
        <f t="shared" si="0"/>
        <v>131.84257602862255</v>
      </c>
    </row>
    <row r="14" spans="2:9" ht="15.75" x14ac:dyDescent="0.25">
      <c r="B14" s="170" t="s">
        <v>1226</v>
      </c>
      <c r="C14" s="170"/>
      <c r="D14" s="219" t="s">
        <v>1227</v>
      </c>
      <c r="E14" s="204">
        <f>SUM(E15:E17)</f>
        <v>5558</v>
      </c>
      <c r="F14" s="158">
        <f>E14/(E14+E28+E42+E46)*100</f>
        <v>41.789473684210527</v>
      </c>
      <c r="G14" s="204">
        <f>SUM(G15:G17)</f>
        <v>4887</v>
      </c>
      <c r="H14" s="158">
        <f>G14/(G14+G28+G42+G46)*100</f>
        <v>33.301533219761495</v>
      </c>
      <c r="I14" s="439">
        <f t="shared" si="0"/>
        <v>87.927311982727602</v>
      </c>
    </row>
    <row r="15" spans="2:9" ht="15.75" x14ac:dyDescent="0.25">
      <c r="B15" s="87"/>
      <c r="C15" s="87" t="s">
        <v>1228</v>
      </c>
      <c r="D15" s="199" t="s">
        <v>221</v>
      </c>
      <c r="E15" s="195">
        <v>5510</v>
      </c>
      <c r="F15" s="187">
        <f>E15/(E14+E28+E42+E46)*100</f>
        <v>41.428571428571431</v>
      </c>
      <c r="G15" s="195">
        <v>4822</v>
      </c>
      <c r="H15" s="187">
        <f>G15/(G14+G28+G42+G46)*100</f>
        <v>32.858603066439521</v>
      </c>
      <c r="I15" s="433">
        <f t="shared" si="0"/>
        <v>87.513611615245011</v>
      </c>
    </row>
    <row r="16" spans="2:9" ht="15.75" x14ac:dyDescent="0.25">
      <c r="B16" s="87"/>
      <c r="C16" s="87" t="s">
        <v>1229</v>
      </c>
      <c r="D16" s="199" t="s">
        <v>222</v>
      </c>
      <c r="E16" s="197">
        <v>47</v>
      </c>
      <c r="F16" s="187">
        <f>E16/(E14+E28+E42+E46)*100</f>
        <v>0.35338345864661658</v>
      </c>
      <c r="G16" s="197">
        <v>60</v>
      </c>
      <c r="H16" s="187">
        <f>G16/(G14+G28+G42+G46)*100</f>
        <v>0.40885860306643956</v>
      </c>
      <c r="I16" s="433">
        <f t="shared" si="0"/>
        <v>127.65957446808511</v>
      </c>
    </row>
    <row r="17" spans="2:9" ht="15.75" x14ac:dyDescent="0.25">
      <c r="B17" s="87"/>
      <c r="C17" s="87" t="s">
        <v>1230</v>
      </c>
      <c r="D17" s="199" t="s">
        <v>1231</v>
      </c>
      <c r="E17" s="197">
        <v>1</v>
      </c>
      <c r="F17" s="187">
        <f>E17/(E14+E28+E42+E46)*100</f>
        <v>7.5187969924812026E-3</v>
      </c>
      <c r="G17" s="197">
        <v>5</v>
      </c>
      <c r="H17" s="187">
        <f>G17/(G14+G28+G42+G46)*100</f>
        <v>3.4071550255536626E-2</v>
      </c>
      <c r="I17" s="433">
        <f t="shared" si="0"/>
        <v>500</v>
      </c>
    </row>
    <row r="18" spans="2:9" ht="15.75" x14ac:dyDescent="0.25">
      <c r="B18" s="170" t="s">
        <v>1232</v>
      </c>
      <c r="C18" s="170"/>
      <c r="D18" s="219" t="s">
        <v>1233</v>
      </c>
      <c r="E18" s="204">
        <f>E9-E14</f>
        <v>2464</v>
      </c>
      <c r="F18" s="158">
        <f>E18/(E9+E20)*100</f>
        <v>15.218331171638564</v>
      </c>
      <c r="G18" s="204">
        <f>G9-G14</f>
        <v>2992</v>
      </c>
      <c r="H18" s="158">
        <f>G18/(G9+G20)*100</f>
        <v>17.780947287098119</v>
      </c>
      <c r="I18" s="439">
        <f t="shared" si="0"/>
        <v>121.42857142857142</v>
      </c>
    </row>
    <row r="19" spans="2:9" ht="15.75" x14ac:dyDescent="0.25">
      <c r="B19" s="209" t="s">
        <v>1234</v>
      </c>
      <c r="C19" s="209"/>
      <c r="D19" s="216" t="s">
        <v>1235</v>
      </c>
      <c r="E19" s="199"/>
      <c r="F19" s="87"/>
      <c r="G19" s="199"/>
      <c r="H19" s="87"/>
      <c r="I19" s="433"/>
    </row>
    <row r="20" spans="2:9" ht="15.75" x14ac:dyDescent="0.25">
      <c r="B20" s="170" t="s">
        <v>1236</v>
      </c>
      <c r="C20" s="170"/>
      <c r="D20" s="219" t="s">
        <v>1237</v>
      </c>
      <c r="E20" s="204">
        <f>E21+E22+E23+E24</f>
        <v>8169</v>
      </c>
      <c r="F20" s="158">
        <f>E20/(E9+E20)*100</f>
        <v>50.453955901426717</v>
      </c>
      <c r="G20" s="204">
        <f>G21+G22+G23+G24</f>
        <v>8948</v>
      </c>
      <c r="H20" s="158">
        <f>G20/(G9+G20)*100</f>
        <v>53.176442621976584</v>
      </c>
      <c r="I20" s="439">
        <f t="shared" si="0"/>
        <v>109.53605092422573</v>
      </c>
    </row>
    <row r="21" spans="2:9" ht="15.75" x14ac:dyDescent="0.25">
      <c r="B21" s="87"/>
      <c r="C21" s="87" t="s">
        <v>1238</v>
      </c>
      <c r="D21" s="199" t="s">
        <v>363</v>
      </c>
      <c r="E21" s="197">
        <v>0</v>
      </c>
      <c r="F21" s="187">
        <f>E21/(E9+E20)*100</f>
        <v>0</v>
      </c>
      <c r="G21" s="197">
        <v>0</v>
      </c>
      <c r="H21" s="187">
        <f>G21/(G9+G20)*100</f>
        <v>0</v>
      </c>
      <c r="I21" s="440" t="s">
        <v>80</v>
      </c>
    </row>
    <row r="22" spans="2:9" ht="15.75" x14ac:dyDescent="0.25">
      <c r="B22" s="87"/>
      <c r="C22" s="87" t="s">
        <v>1239</v>
      </c>
      <c r="D22" s="199" t="s">
        <v>1240</v>
      </c>
      <c r="E22" s="195">
        <v>6857</v>
      </c>
      <c r="F22" s="187">
        <f>E22/(E9+E20)*100</f>
        <v>42.350688654190598</v>
      </c>
      <c r="G22" s="195">
        <v>7282</v>
      </c>
      <c r="H22" s="187">
        <f>G22/(G9+G20)*100</f>
        <v>43.275687882569677</v>
      </c>
      <c r="I22" s="433">
        <f t="shared" si="0"/>
        <v>106.19804579262069</v>
      </c>
    </row>
    <row r="23" spans="2:9" ht="15.75" x14ac:dyDescent="0.25">
      <c r="B23" s="87"/>
      <c r="C23" s="87" t="s">
        <v>1241</v>
      </c>
      <c r="D23" s="199" t="s">
        <v>1242</v>
      </c>
      <c r="E23" s="197">
        <v>-25</v>
      </c>
      <c r="F23" s="187">
        <f>E23/(E9+E20)*100</f>
        <v>-0.15440676919276142</v>
      </c>
      <c r="G23" s="197">
        <v>19</v>
      </c>
      <c r="H23" s="187">
        <f>G23/(G9+G20)*100</f>
        <v>0.11291376953705354</v>
      </c>
      <c r="I23" s="433">
        <f t="shared" si="0"/>
        <v>-76</v>
      </c>
    </row>
    <row r="24" spans="2:9" ht="15.75" x14ac:dyDescent="0.25">
      <c r="B24" s="87"/>
      <c r="C24" s="87" t="s">
        <v>1243</v>
      </c>
      <c r="D24" s="199" t="s">
        <v>402</v>
      </c>
      <c r="E24" s="195">
        <f>E25+E26+E27</f>
        <v>1337</v>
      </c>
      <c r="F24" s="187">
        <f>E24/(E9+E20)*100</f>
        <v>8.2576740164288793</v>
      </c>
      <c r="G24" s="195">
        <f>G25+G26+G27</f>
        <v>1647</v>
      </c>
      <c r="H24" s="187">
        <f>G24/(G9+G20)*100</f>
        <v>9.7878409698698512</v>
      </c>
      <c r="I24" s="433">
        <f t="shared" si="0"/>
        <v>123.18623784592371</v>
      </c>
    </row>
    <row r="25" spans="2:9" ht="15.75" x14ac:dyDescent="0.25">
      <c r="B25" s="87"/>
      <c r="C25" s="87" t="s">
        <v>1244</v>
      </c>
      <c r="D25" s="199" t="s">
        <v>1245</v>
      </c>
      <c r="E25" s="197">
        <v>11</v>
      </c>
      <c r="F25" s="187">
        <f>E25/(E9+E20)*100</f>
        <v>6.7938978444815015E-2</v>
      </c>
      <c r="G25" s="197">
        <v>6</v>
      </c>
      <c r="H25" s="187">
        <f>G25/(G9+G20)*100</f>
        <v>3.5656979853806385E-2</v>
      </c>
      <c r="I25" s="433">
        <f t="shared" si="0"/>
        <v>54.54545454545454</v>
      </c>
    </row>
    <row r="26" spans="2:9" ht="15.75" x14ac:dyDescent="0.25">
      <c r="B26" s="87"/>
      <c r="C26" s="87" t="s">
        <v>1246</v>
      </c>
      <c r="D26" s="199" t="s">
        <v>1247</v>
      </c>
      <c r="E26" s="197">
        <v>7</v>
      </c>
      <c r="F26" s="187">
        <f>E26/(E9+E20)*100</f>
        <v>4.3233895373973194E-2</v>
      </c>
      <c r="G26" s="197">
        <v>11</v>
      </c>
      <c r="H26" s="187">
        <f>G26/(G9+G20)*100</f>
        <v>6.5371129731978367E-2</v>
      </c>
      <c r="I26" s="433">
        <f t="shared" si="0"/>
        <v>157.14285714285714</v>
      </c>
    </row>
    <row r="27" spans="2:9" ht="15.75" x14ac:dyDescent="0.25">
      <c r="B27" s="87"/>
      <c r="C27" s="87" t="s">
        <v>1248</v>
      </c>
      <c r="D27" s="199" t="s">
        <v>46</v>
      </c>
      <c r="E27" s="195">
        <v>1319</v>
      </c>
      <c r="F27" s="187">
        <f>E27/(E9+E20)*100</f>
        <v>8.1465011426100915</v>
      </c>
      <c r="G27" s="195">
        <v>1630</v>
      </c>
      <c r="H27" s="187">
        <f>G27/(G9+G20)*100</f>
        <v>9.6868128602840677</v>
      </c>
      <c r="I27" s="433">
        <f t="shared" si="0"/>
        <v>123.57846853677029</v>
      </c>
    </row>
    <row r="28" spans="2:9" ht="15.75" x14ac:dyDescent="0.25">
      <c r="B28" s="170" t="s">
        <v>251</v>
      </c>
      <c r="C28" s="170"/>
      <c r="D28" s="219" t="s">
        <v>1249</v>
      </c>
      <c r="E28" s="204">
        <f>E29+E32+E37+E38</f>
        <v>8295</v>
      </c>
      <c r="F28" s="158">
        <f>E28/(E14+E28+E42+E46)*100</f>
        <v>62.368421052631582</v>
      </c>
      <c r="G28" s="204">
        <f>G29+G32+G37+G38</f>
        <v>9038</v>
      </c>
      <c r="H28" s="158">
        <f>G28/(G14+G28+G42+G46)*100</f>
        <v>61.587734241908009</v>
      </c>
      <c r="I28" s="439">
        <f t="shared" si="0"/>
        <v>108.95720313441832</v>
      </c>
    </row>
    <row r="29" spans="2:9" ht="15.75" x14ac:dyDescent="0.25">
      <c r="B29" s="87"/>
      <c r="C29" s="87" t="s">
        <v>476</v>
      </c>
      <c r="D29" s="199" t="s">
        <v>1250</v>
      </c>
      <c r="E29" s="195">
        <f>E30+E31</f>
        <v>1464</v>
      </c>
      <c r="F29" s="187">
        <f>E29/(E14+E28+E42+E46)*100</f>
        <v>11.007518796992482</v>
      </c>
      <c r="G29" s="195">
        <f>G30+G31</f>
        <v>1596</v>
      </c>
      <c r="H29" s="187">
        <f>G29/(G14+G28+G42+G46)*100</f>
        <v>10.875638841567291</v>
      </c>
      <c r="I29" s="433">
        <f t="shared" si="0"/>
        <v>109.01639344262296</v>
      </c>
    </row>
    <row r="30" spans="2:9" ht="15.75" x14ac:dyDescent="0.25">
      <c r="B30" s="87"/>
      <c r="C30" s="87" t="s">
        <v>1251</v>
      </c>
      <c r="D30" s="199" t="s">
        <v>1252</v>
      </c>
      <c r="E30" s="195">
        <v>1286</v>
      </c>
      <c r="F30" s="187">
        <f>E30/(E14+E28+E42+E46)*100</f>
        <v>9.6691729323308273</v>
      </c>
      <c r="G30" s="195">
        <v>1360</v>
      </c>
      <c r="H30" s="187">
        <f>G30/(G14+G28+G42+G46)*100</f>
        <v>9.2674616695059626</v>
      </c>
      <c r="I30" s="433">
        <f t="shared" si="0"/>
        <v>105.75427682737168</v>
      </c>
    </row>
    <row r="31" spans="2:9" ht="15.75" x14ac:dyDescent="0.25">
      <c r="B31" s="87"/>
      <c r="C31" s="87" t="s">
        <v>1253</v>
      </c>
      <c r="D31" s="199" t="s">
        <v>1254</v>
      </c>
      <c r="E31" s="195">
        <v>178</v>
      </c>
      <c r="F31" s="187">
        <f>E31/(E14+E28+E42+E46)*100</f>
        <v>1.3383458646616542</v>
      </c>
      <c r="G31" s="195">
        <v>236</v>
      </c>
      <c r="H31" s="187">
        <f>G31/(G14+G28+G42+G46)*100</f>
        <v>1.6081771720613289</v>
      </c>
      <c r="I31" s="433">
        <f t="shared" si="0"/>
        <v>132.58426966292134</v>
      </c>
    </row>
    <row r="32" spans="2:9" ht="15.75" x14ac:dyDescent="0.25">
      <c r="B32" s="87"/>
      <c r="C32" s="87" t="s">
        <v>477</v>
      </c>
      <c r="D32" s="199" t="s">
        <v>1255</v>
      </c>
      <c r="E32" s="195">
        <f>E33+E36</f>
        <v>4135</v>
      </c>
      <c r="F32" s="187">
        <f>E32/(E14+E28+E42+E46)*100</f>
        <v>31.090225563909772</v>
      </c>
      <c r="G32" s="195">
        <f>G33+G36</f>
        <v>4309</v>
      </c>
      <c r="H32" s="187">
        <f>G32/(G14+G28+G42+G46)*100</f>
        <v>29.362862010221463</v>
      </c>
      <c r="I32" s="433">
        <f t="shared" si="0"/>
        <v>104.2079806529625</v>
      </c>
    </row>
    <row r="33" spans="2:9" ht="15.75" x14ac:dyDescent="0.25">
      <c r="B33" s="87"/>
      <c r="C33" s="87" t="s">
        <v>1256</v>
      </c>
      <c r="D33" s="199" t="s">
        <v>1257</v>
      </c>
      <c r="E33" s="195">
        <f>E34+E35</f>
        <v>3981</v>
      </c>
      <c r="F33" s="187">
        <f>E33/(E14+E28+E42+E46)*100</f>
        <v>29.93233082706767</v>
      </c>
      <c r="G33" s="195">
        <f>G34+G35</f>
        <v>4170</v>
      </c>
      <c r="H33" s="187">
        <f>G33/(G14+G28+G42+G46)*100</f>
        <v>28.415672913117547</v>
      </c>
      <c r="I33" s="433">
        <f t="shared" si="0"/>
        <v>104.74755086661642</v>
      </c>
    </row>
    <row r="34" spans="2:9" ht="15.75" x14ac:dyDescent="0.25">
      <c r="B34" s="87"/>
      <c r="C34" s="87" t="s">
        <v>1258</v>
      </c>
      <c r="D34" s="199" t="s">
        <v>1259</v>
      </c>
      <c r="E34" s="195">
        <v>3872</v>
      </c>
      <c r="F34" s="187">
        <f>E34/(E14+E28+E42+E46)*100</f>
        <v>29.112781954887218</v>
      </c>
      <c r="G34" s="195">
        <v>4039</v>
      </c>
      <c r="H34" s="187">
        <f>G34/(G14+G28+G42+G46)*100</f>
        <v>27.522998296422486</v>
      </c>
      <c r="I34" s="433">
        <f t="shared" si="0"/>
        <v>104.31301652892562</v>
      </c>
    </row>
    <row r="35" spans="2:9" ht="15.75" x14ac:dyDescent="0.25">
      <c r="B35" s="87"/>
      <c r="C35" s="87" t="s">
        <v>1260</v>
      </c>
      <c r="D35" s="199" t="s">
        <v>1261</v>
      </c>
      <c r="E35" s="195">
        <v>109</v>
      </c>
      <c r="F35" s="187">
        <f>E35/(E14+E28+E42+E46)*100</f>
        <v>0.81954887218045114</v>
      </c>
      <c r="G35" s="195">
        <v>131</v>
      </c>
      <c r="H35" s="187">
        <f>G35/(G14+G28+G42+G46)*100</f>
        <v>0.89267461669505965</v>
      </c>
      <c r="I35" s="433">
        <f t="shared" si="0"/>
        <v>120.1834862385321</v>
      </c>
    </row>
    <row r="36" spans="2:9" ht="15.75" x14ac:dyDescent="0.25">
      <c r="B36" s="87"/>
      <c r="C36" s="87" t="s">
        <v>1262</v>
      </c>
      <c r="D36" s="199" t="s">
        <v>1263</v>
      </c>
      <c r="E36" s="195">
        <v>154</v>
      </c>
      <c r="F36" s="187">
        <f>E36/(E14+E28+E42+E46)*100</f>
        <v>1.1578947368421053</v>
      </c>
      <c r="G36" s="195">
        <v>139</v>
      </c>
      <c r="H36" s="187">
        <f>G36/(G14+G28+G42+G46)*100</f>
        <v>0.94718909710391819</v>
      </c>
      <c r="I36" s="433">
        <f t="shared" si="0"/>
        <v>90.259740259740255</v>
      </c>
    </row>
    <row r="37" spans="2:9" ht="15.75" x14ac:dyDescent="0.25">
      <c r="B37" s="87"/>
      <c r="C37" s="87" t="s">
        <v>1174</v>
      </c>
      <c r="D37" s="199" t="s">
        <v>1264</v>
      </c>
      <c r="E37" s="195">
        <v>0</v>
      </c>
      <c r="F37" s="187">
        <f>E37/(E14+E28+E42+E46)*100</f>
        <v>0</v>
      </c>
      <c r="G37" s="195">
        <v>0</v>
      </c>
      <c r="H37" s="187">
        <f>G37/(G14+G28+G42+G46)*100</f>
        <v>0</v>
      </c>
      <c r="I37" s="440" t="s">
        <v>80</v>
      </c>
    </row>
    <row r="38" spans="2:9" ht="15.75" x14ac:dyDescent="0.25">
      <c r="B38" s="87"/>
      <c r="C38" s="87" t="s">
        <v>1176</v>
      </c>
      <c r="D38" s="199" t="s">
        <v>1265</v>
      </c>
      <c r="E38" s="195">
        <f>E39+E40+E41</f>
        <v>2696</v>
      </c>
      <c r="F38" s="187">
        <f>E38/(E14+E28+E42+E44)*100</f>
        <v>20.270676691729321</v>
      </c>
      <c r="G38" s="195">
        <f>G39+G40+G41</f>
        <v>3133</v>
      </c>
      <c r="H38" s="187">
        <f>G38/(G14+G28+G42+G46)*100</f>
        <v>21.349233390119252</v>
      </c>
      <c r="I38" s="440">
        <f t="shared" si="0"/>
        <v>116.20919881305637</v>
      </c>
    </row>
    <row r="39" spans="2:9" ht="15.75" x14ac:dyDescent="0.25">
      <c r="B39" s="87"/>
      <c r="C39" s="87" t="s">
        <v>1266</v>
      </c>
      <c r="D39" s="199" t="s">
        <v>408</v>
      </c>
      <c r="E39" s="195">
        <v>63</v>
      </c>
      <c r="F39" s="187">
        <f>E39/(E14+E28+E42+E46)*100</f>
        <v>0.47368421052631582</v>
      </c>
      <c r="G39" s="195">
        <v>59</v>
      </c>
      <c r="H39" s="187">
        <f>G39/(G14+G28+G42+G46)*100</f>
        <v>0.40204429301533223</v>
      </c>
      <c r="I39" s="440">
        <f t="shared" si="0"/>
        <v>93.650793650793645</v>
      </c>
    </row>
    <row r="40" spans="2:9" ht="15.75" x14ac:dyDescent="0.25">
      <c r="B40" s="87"/>
      <c r="C40" s="87" t="s">
        <v>1267</v>
      </c>
      <c r="D40" s="199" t="s">
        <v>409</v>
      </c>
      <c r="E40" s="195">
        <v>1154</v>
      </c>
      <c r="F40" s="187">
        <f>E40/(E14+E28+E42+E46)*100</f>
        <v>8.6766917293233092</v>
      </c>
      <c r="G40" s="195">
        <v>1302</v>
      </c>
      <c r="H40" s="187">
        <f>G40/(G14+G28+G42+G46)*100</f>
        <v>8.8722316865417366</v>
      </c>
      <c r="I40" s="440">
        <f t="shared" si="0"/>
        <v>112.82495667244368</v>
      </c>
    </row>
    <row r="41" spans="2:9" ht="15.75" x14ac:dyDescent="0.25">
      <c r="B41" s="87"/>
      <c r="C41" s="87" t="s">
        <v>1268</v>
      </c>
      <c r="D41" s="199" t="s">
        <v>46</v>
      </c>
      <c r="E41" s="195">
        <v>1479</v>
      </c>
      <c r="F41" s="187">
        <f>E41/(E14+E28+E42+E46)*100</f>
        <v>11.1203007518797</v>
      </c>
      <c r="G41" s="195">
        <v>1772</v>
      </c>
      <c r="H41" s="187">
        <f>G41/(G14+G28+G42+G46)*100</f>
        <v>12.074957410562179</v>
      </c>
      <c r="I41" s="440">
        <f t="shared" si="0"/>
        <v>119.8106828938472</v>
      </c>
    </row>
    <row r="42" spans="2:9" ht="15.75" x14ac:dyDescent="0.25">
      <c r="B42" s="170" t="s">
        <v>252</v>
      </c>
      <c r="C42" s="170"/>
      <c r="D42" s="219" t="s">
        <v>1269</v>
      </c>
      <c r="E42" s="204">
        <f>E43+E44</f>
        <v>-553</v>
      </c>
      <c r="F42" s="158">
        <f>E42/(E14+E28+E42+E46)*100</f>
        <v>-4.1578947368421053</v>
      </c>
      <c r="G42" s="204">
        <f>G43+G44</f>
        <v>750</v>
      </c>
      <c r="H42" s="158">
        <f>G42/(G14+G28+G42+G46)*100</f>
        <v>5.1107325383304936</v>
      </c>
      <c r="I42" s="441">
        <f t="shared" si="0"/>
        <v>-135.62386980108499</v>
      </c>
    </row>
    <row r="43" spans="2:9" ht="15.75" x14ac:dyDescent="0.25">
      <c r="B43" s="209"/>
      <c r="C43" s="87" t="s">
        <v>1270</v>
      </c>
      <c r="D43" s="199" t="s">
        <v>1271</v>
      </c>
      <c r="E43" s="195">
        <v>-553</v>
      </c>
      <c r="F43" s="187">
        <f>E43/(E14+E28+E42+E46)*100</f>
        <v>-4.1578947368421053</v>
      </c>
      <c r="G43" s="195">
        <v>750</v>
      </c>
      <c r="H43" s="187">
        <f>G43/(G14+G28+G42+G46)*100</f>
        <v>5.1107325383304936</v>
      </c>
      <c r="I43" s="440">
        <f t="shared" si="0"/>
        <v>-135.62386980108499</v>
      </c>
    </row>
    <row r="44" spans="2:9" ht="15.75" x14ac:dyDescent="0.25">
      <c r="B44" s="209"/>
      <c r="C44" s="87" t="s">
        <v>1272</v>
      </c>
      <c r="D44" s="199" t="s">
        <v>1273</v>
      </c>
      <c r="E44" s="195">
        <v>0</v>
      </c>
      <c r="F44" s="187">
        <f>E44/(E14+E28+E42+E46)*100</f>
        <v>0</v>
      </c>
      <c r="G44" s="195">
        <v>0</v>
      </c>
      <c r="H44" s="187">
        <f>G44/(G14+G28+G42+G46)*100</f>
        <v>0</v>
      </c>
      <c r="I44" s="440" t="s">
        <v>80</v>
      </c>
    </row>
    <row r="45" spans="2:9" ht="15.75" x14ac:dyDescent="0.25">
      <c r="B45" s="170" t="s">
        <v>253</v>
      </c>
      <c r="C45" s="170"/>
      <c r="D45" s="219" t="s">
        <v>1274</v>
      </c>
      <c r="E45" s="204">
        <f>E18+E20-E28-E42</f>
        <v>2891</v>
      </c>
      <c r="F45" s="170"/>
      <c r="G45" s="204">
        <f>G18+G20-G28-G42</f>
        <v>2152</v>
      </c>
      <c r="H45" s="158"/>
      <c r="I45" s="441">
        <f t="shared" si="0"/>
        <v>74.437910757523355</v>
      </c>
    </row>
    <row r="46" spans="2:9" ht="15.75" x14ac:dyDescent="0.25">
      <c r="B46" s="87" t="s">
        <v>1275</v>
      </c>
      <c r="C46" s="87"/>
      <c r="D46" s="199" t="s">
        <v>1276</v>
      </c>
      <c r="E46" s="197">
        <v>0</v>
      </c>
      <c r="F46" s="187">
        <f>E46/(E14+E28+E42+E46)*100</f>
        <v>0</v>
      </c>
      <c r="G46" s="197"/>
      <c r="H46" s="187">
        <f>G46/(G14+G28+G42+G46)*100</f>
        <v>0</v>
      </c>
      <c r="I46" s="440" t="s">
        <v>80</v>
      </c>
    </row>
    <row r="47" spans="2:9" ht="15.75" x14ac:dyDescent="0.25">
      <c r="B47" s="170" t="s">
        <v>255</v>
      </c>
      <c r="C47" s="170"/>
      <c r="D47" s="219" t="s">
        <v>1277</v>
      </c>
      <c r="E47" s="204">
        <f>E45-E46</f>
        <v>2891</v>
      </c>
      <c r="F47" s="170"/>
      <c r="G47" s="204">
        <f>G45-G46</f>
        <v>2152</v>
      </c>
      <c r="H47" s="158"/>
      <c r="I47" s="439">
        <f t="shared" si="0"/>
        <v>74.437910757523355</v>
      </c>
    </row>
  </sheetData>
  <mergeCells count="7">
    <mergeCell ref="B4:I4"/>
    <mergeCell ref="B5:B6"/>
    <mergeCell ref="D5:D6"/>
    <mergeCell ref="E5:E6"/>
    <mergeCell ref="F5:F6"/>
    <mergeCell ref="G5:G6"/>
    <mergeCell ref="H5:H6"/>
  </mergeCells>
  <pageMargins left="0.7" right="0.7" top="0.75" bottom="0.75" header="0.3" footer="0.3"/>
  <ignoredErrors>
    <ignoredError sqref="F9:F13 F42 F29:F38 G9:I14 F14:F28 G42:H42 G18:I20 H15:I17 G24:I24 H22:I23 G28:I29 H25:I27 G32:I33 H30:I31 G38:I38 H34:I36 H39:I39 G45:H46 H43:H44 H37 H21" formula="1"/>
  </ignoredErrors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67B71-0A32-4FD7-85E3-F2AF8348A48E}">
  <dimension ref="B3:G10"/>
  <sheetViews>
    <sheetView workbookViewId="0">
      <selection activeCell="G18" sqref="G18"/>
    </sheetView>
  </sheetViews>
  <sheetFormatPr defaultRowHeight="15" x14ac:dyDescent="0.25"/>
  <cols>
    <col min="2" max="2" width="7.28515625" customWidth="1"/>
    <col min="3" max="3" width="14.28515625" customWidth="1"/>
    <col min="4" max="4" width="18.28515625" customWidth="1"/>
    <col min="5" max="6" width="14" customWidth="1"/>
    <col min="7" max="7" width="13.5703125" customWidth="1"/>
  </cols>
  <sheetData>
    <row r="3" spans="2:7" ht="16.5" thickBot="1" x14ac:dyDescent="0.3">
      <c r="B3" s="334"/>
      <c r="C3" s="334"/>
      <c r="D3" s="334"/>
      <c r="E3" s="334"/>
      <c r="F3" s="334"/>
      <c r="G3" s="174" t="s">
        <v>271</v>
      </c>
    </row>
    <row r="4" spans="2:7" ht="16.5" thickTop="1" x14ac:dyDescent="0.25">
      <c r="B4" s="454" t="s">
        <v>1375</v>
      </c>
      <c r="C4" s="454"/>
      <c r="D4" s="454"/>
      <c r="E4" s="454"/>
      <c r="F4" s="454"/>
      <c r="G4" s="454"/>
    </row>
    <row r="5" spans="2:7" ht="15.75" x14ac:dyDescent="0.25">
      <c r="B5" s="453" t="s">
        <v>100</v>
      </c>
      <c r="C5" s="450" t="s">
        <v>112</v>
      </c>
      <c r="D5" s="450" t="s">
        <v>608</v>
      </c>
      <c r="E5" s="450"/>
      <c r="F5" s="450" t="s">
        <v>609</v>
      </c>
      <c r="G5" s="450"/>
    </row>
    <row r="6" spans="2:7" ht="48" customHeight="1" x14ac:dyDescent="0.25">
      <c r="B6" s="453"/>
      <c r="C6" s="450"/>
      <c r="D6" s="84" t="s">
        <v>117</v>
      </c>
      <c r="E6" s="84" t="s">
        <v>456</v>
      </c>
      <c r="F6" s="84" t="s">
        <v>118</v>
      </c>
      <c r="G6" s="84" t="s">
        <v>457</v>
      </c>
    </row>
    <row r="7" spans="2:7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</row>
    <row r="8" spans="2:7" ht="15.75" x14ac:dyDescent="0.25">
      <c r="B8" s="160" t="s">
        <v>247</v>
      </c>
      <c r="C8" s="99" t="s">
        <v>122</v>
      </c>
      <c r="D8" s="89">
        <f>1378+719+358+436</f>
        <v>2891</v>
      </c>
      <c r="E8" s="101">
        <v>4</v>
      </c>
      <c r="F8" s="89">
        <v>2311</v>
      </c>
      <c r="G8" s="101">
        <v>3</v>
      </c>
    </row>
    <row r="9" spans="2:7" ht="15.75" x14ac:dyDescent="0.25">
      <c r="B9" s="160" t="s">
        <v>248</v>
      </c>
      <c r="C9" s="99" t="s">
        <v>121</v>
      </c>
      <c r="D9" s="89">
        <v>0</v>
      </c>
      <c r="E9" s="101">
        <v>0</v>
      </c>
      <c r="F9" s="89">
        <v>159</v>
      </c>
      <c r="G9" s="101">
        <v>1</v>
      </c>
    </row>
    <row r="10" spans="2:7" ht="15.75" x14ac:dyDescent="0.25">
      <c r="B10" s="450" t="s">
        <v>18</v>
      </c>
      <c r="C10" s="450"/>
      <c r="D10" s="92">
        <f>D8-D9</f>
        <v>2891</v>
      </c>
      <c r="E10" s="84">
        <f>E8+E9</f>
        <v>4</v>
      </c>
      <c r="F10" s="92">
        <f>F8-F9</f>
        <v>2152</v>
      </c>
      <c r="G10" s="84">
        <f t="shared" ref="G10" si="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DE2A2-EA78-4BC3-9117-48FE2CDBC78C}">
  <dimension ref="B3:H20"/>
  <sheetViews>
    <sheetView workbookViewId="0">
      <selection activeCell="H26" sqref="H26"/>
    </sheetView>
  </sheetViews>
  <sheetFormatPr defaultRowHeight="15" x14ac:dyDescent="0.25"/>
  <cols>
    <col min="3" max="3" width="49.42578125" customWidth="1"/>
    <col min="4" max="4" width="14.7109375" customWidth="1"/>
    <col min="5" max="5" width="10.5703125" customWidth="1"/>
    <col min="6" max="6" width="15.42578125" customWidth="1"/>
    <col min="7" max="7" width="10.140625" customWidth="1"/>
    <col min="8" max="8" width="12.42578125" customWidth="1"/>
  </cols>
  <sheetData>
    <row r="3" spans="2:8" ht="16.5" thickBot="1" x14ac:dyDescent="0.3">
      <c r="H3" s="174" t="s">
        <v>272</v>
      </c>
    </row>
    <row r="4" spans="2:8" ht="16.5" thickTop="1" x14ac:dyDescent="0.25">
      <c r="B4" s="477" t="s">
        <v>1376</v>
      </c>
      <c r="C4" s="477"/>
      <c r="D4" s="477"/>
      <c r="E4" s="477"/>
      <c r="F4" s="477"/>
      <c r="G4" s="477"/>
      <c r="H4" s="477"/>
    </row>
    <row r="5" spans="2:8" ht="15.75" x14ac:dyDescent="0.25">
      <c r="B5" s="491" t="s">
        <v>100</v>
      </c>
      <c r="C5" s="491" t="s">
        <v>124</v>
      </c>
      <c r="D5" s="493" t="s">
        <v>608</v>
      </c>
      <c r="E5" s="493"/>
      <c r="F5" s="493" t="s">
        <v>609</v>
      </c>
      <c r="G5" s="493"/>
      <c r="H5" s="229" t="s">
        <v>1</v>
      </c>
    </row>
    <row r="6" spans="2:8" ht="23.25" customHeight="1" x14ac:dyDescent="0.25">
      <c r="B6" s="491"/>
      <c r="C6" s="491"/>
      <c r="D6" s="229" t="s">
        <v>2</v>
      </c>
      <c r="E6" s="228" t="s">
        <v>20</v>
      </c>
      <c r="F6" s="229" t="s">
        <v>2</v>
      </c>
      <c r="G6" s="228" t="s">
        <v>20</v>
      </c>
      <c r="H6" s="229" t="s">
        <v>333</v>
      </c>
    </row>
    <row r="7" spans="2:8" x14ac:dyDescent="0.25">
      <c r="B7" s="230">
        <v>1</v>
      </c>
      <c r="C7" s="231">
        <v>2</v>
      </c>
      <c r="D7" s="231">
        <v>3</v>
      </c>
      <c r="E7" s="231">
        <v>4</v>
      </c>
      <c r="F7" s="231">
        <v>5</v>
      </c>
      <c r="G7" s="231">
        <v>6</v>
      </c>
      <c r="H7" s="231">
        <v>7</v>
      </c>
    </row>
    <row r="8" spans="2:8" ht="15.75" x14ac:dyDescent="0.25">
      <c r="B8" s="244" t="s">
        <v>247</v>
      </c>
      <c r="C8" s="242" t="s">
        <v>292</v>
      </c>
      <c r="D8" s="243"/>
      <c r="E8" s="227"/>
      <c r="F8" s="227"/>
      <c r="G8" s="227"/>
      <c r="H8" s="245"/>
    </row>
    <row r="9" spans="2:8" ht="15.75" x14ac:dyDescent="0.25">
      <c r="B9" s="246" t="s">
        <v>58</v>
      </c>
      <c r="C9" s="227" t="s">
        <v>216</v>
      </c>
      <c r="D9" s="233">
        <v>20</v>
      </c>
      <c r="E9" s="234">
        <f>D9/D20*100</f>
        <v>0.11944577161968467</v>
      </c>
      <c r="F9" s="233">
        <v>14</v>
      </c>
      <c r="G9" s="234">
        <f>F9/F20*100</f>
        <v>8.3199619658881563E-2</v>
      </c>
      <c r="H9" s="235">
        <f>F9/D9*100</f>
        <v>70</v>
      </c>
    </row>
    <row r="10" spans="2:8" ht="15.75" x14ac:dyDescent="0.25">
      <c r="B10" s="246" t="s">
        <v>88</v>
      </c>
      <c r="C10" s="227" t="s">
        <v>215</v>
      </c>
      <c r="D10" s="233">
        <v>7084</v>
      </c>
      <c r="E10" s="234">
        <f>D10/D20*100</f>
        <v>42.307692307692307</v>
      </c>
      <c r="F10" s="233">
        <v>6734</v>
      </c>
      <c r="G10" s="234">
        <f>F10/F20*100</f>
        <v>40.019017055922028</v>
      </c>
      <c r="H10" s="235">
        <f>F10/D10*100</f>
        <v>95.059288537549406</v>
      </c>
    </row>
    <row r="11" spans="2:8" ht="15.75" x14ac:dyDescent="0.25">
      <c r="B11" s="246" t="s">
        <v>274</v>
      </c>
      <c r="C11" s="227" t="s">
        <v>217</v>
      </c>
      <c r="D11" s="233">
        <v>918</v>
      </c>
      <c r="E11" s="234">
        <f>D11/D20*100</f>
        <v>5.4825609173435268</v>
      </c>
      <c r="F11" s="233">
        <v>1131</v>
      </c>
      <c r="G11" s="234">
        <f>F11/F20*100</f>
        <v>6.7213407024425038</v>
      </c>
      <c r="H11" s="235">
        <f>F11/D11*100</f>
        <v>123.20261437908498</v>
      </c>
    </row>
    <row r="12" spans="2:8" ht="15.75" x14ac:dyDescent="0.25">
      <c r="B12" s="492" t="s">
        <v>594</v>
      </c>
      <c r="C12" s="492"/>
      <c r="D12" s="236">
        <f>SUM(D9:D11)</f>
        <v>8022</v>
      </c>
      <c r="E12" s="247">
        <f>D12/D20*100</f>
        <v>47.909698996655521</v>
      </c>
      <c r="F12" s="236">
        <f>SUM(F9:F11)</f>
        <v>7879</v>
      </c>
      <c r="G12" s="247">
        <f>F12/F20*100</f>
        <v>46.823557378023416</v>
      </c>
      <c r="H12" s="237">
        <f>F12/D12*100</f>
        <v>98.217402144103716</v>
      </c>
    </row>
    <row r="13" spans="2:8" ht="15.75" x14ac:dyDescent="0.25">
      <c r="B13" s="244" t="s">
        <v>248</v>
      </c>
      <c r="C13" s="242" t="s">
        <v>293</v>
      </c>
      <c r="D13" s="243"/>
      <c r="E13" s="234"/>
      <c r="F13" s="243"/>
      <c r="G13" s="234"/>
      <c r="H13" s="235"/>
    </row>
    <row r="14" spans="2:8" ht="15.75" x14ac:dyDescent="0.25">
      <c r="B14" s="232" t="s">
        <v>277</v>
      </c>
      <c r="C14" s="227" t="s">
        <v>218</v>
      </c>
      <c r="D14" s="233">
        <v>6857</v>
      </c>
      <c r="E14" s="234">
        <f>D14/D20*100</f>
        <v>40.951982799808889</v>
      </c>
      <c r="F14" s="233">
        <v>7282</v>
      </c>
      <c r="G14" s="234">
        <f>F14/F20*100</f>
        <v>43.275687882569677</v>
      </c>
      <c r="H14" s="235">
        <f t="shared" ref="H14:H20" si="0">F14/D14*100</f>
        <v>106.19804579262069</v>
      </c>
    </row>
    <row r="15" spans="2:8" ht="15.75" x14ac:dyDescent="0.25">
      <c r="B15" s="232" t="s">
        <v>278</v>
      </c>
      <c r="C15" s="227" t="s">
        <v>219</v>
      </c>
      <c r="D15" s="243">
        <v>0</v>
      </c>
      <c r="E15" s="234">
        <f>D15/D20*100</f>
        <v>0</v>
      </c>
      <c r="F15" s="243">
        <v>0</v>
      </c>
      <c r="G15" s="234">
        <f>F15/F20*100</f>
        <v>0</v>
      </c>
      <c r="H15" s="235" t="s">
        <v>80</v>
      </c>
    </row>
    <row r="16" spans="2:8" ht="15.75" x14ac:dyDescent="0.25">
      <c r="B16" s="232" t="s">
        <v>279</v>
      </c>
      <c r="C16" s="227" t="s">
        <v>580</v>
      </c>
      <c r="D16" s="233">
        <v>-25</v>
      </c>
      <c r="E16" s="234">
        <f>D16/D20*100</f>
        <v>-0.14930721452460582</v>
      </c>
      <c r="F16" s="243">
        <v>19</v>
      </c>
      <c r="G16" s="234">
        <f>F16/F20*100</f>
        <v>0.11291376953705354</v>
      </c>
      <c r="H16" s="235">
        <f t="shared" si="0"/>
        <v>-76</v>
      </c>
    </row>
    <row r="17" spans="2:8" ht="15.75" x14ac:dyDescent="0.25">
      <c r="B17" s="232" t="s">
        <v>280</v>
      </c>
      <c r="C17" s="227" t="s">
        <v>220</v>
      </c>
      <c r="D17" s="233">
        <v>1337</v>
      </c>
      <c r="E17" s="234">
        <f>D17/D20*100</f>
        <v>7.9849498327759196</v>
      </c>
      <c r="F17" s="233">
        <v>1647</v>
      </c>
      <c r="G17" s="234">
        <f>F17/F20*100</f>
        <v>9.7878409698698512</v>
      </c>
      <c r="H17" s="235">
        <f t="shared" si="0"/>
        <v>123.18623784592371</v>
      </c>
    </row>
    <row r="18" spans="2:8" ht="15.75" x14ac:dyDescent="0.25">
      <c r="B18" s="492" t="s">
        <v>595</v>
      </c>
      <c r="C18" s="492"/>
      <c r="D18" s="236">
        <f>SUM(D14:D17)</f>
        <v>8169</v>
      </c>
      <c r="E18" s="247">
        <f>D18/D20*100</f>
        <v>48.787625418060202</v>
      </c>
      <c r="F18" s="236">
        <f>SUM(F14:F17)</f>
        <v>8948</v>
      </c>
      <c r="G18" s="247">
        <f>F18/F20*100</f>
        <v>53.176442621976584</v>
      </c>
      <c r="H18" s="237">
        <f>F18/D18*100</f>
        <v>109.53605092422573</v>
      </c>
    </row>
    <row r="19" spans="2:8" ht="15.75" x14ac:dyDescent="0.25">
      <c r="B19" s="244" t="s">
        <v>249</v>
      </c>
      <c r="C19" s="242" t="s">
        <v>1307</v>
      </c>
      <c r="D19" s="386">
        <v>553</v>
      </c>
      <c r="E19" s="249">
        <f>D19/D20*100</f>
        <v>3.3026755852842808</v>
      </c>
      <c r="F19" s="248">
        <v>0</v>
      </c>
      <c r="G19" s="249">
        <f>F19/F20*100</f>
        <v>0</v>
      </c>
      <c r="H19" s="225">
        <f t="shared" si="0"/>
        <v>0</v>
      </c>
    </row>
    <row r="20" spans="2:8" ht="15.75" x14ac:dyDescent="0.25">
      <c r="B20" s="492" t="s">
        <v>596</v>
      </c>
      <c r="C20" s="492"/>
      <c r="D20" s="236">
        <f>D12+D18+D19</f>
        <v>16744</v>
      </c>
      <c r="E20" s="237">
        <f>E12+E18+E19</f>
        <v>100</v>
      </c>
      <c r="F20" s="236">
        <f>F12+F18+F19</f>
        <v>16827</v>
      </c>
      <c r="G20" s="237">
        <f>G12+G18+G19</f>
        <v>100</v>
      </c>
      <c r="H20" s="237">
        <f t="shared" si="0"/>
        <v>100.4956999522217</v>
      </c>
    </row>
  </sheetData>
  <mergeCells count="8">
    <mergeCell ref="B18:C18"/>
    <mergeCell ref="B20:C20"/>
    <mergeCell ref="B4:H4"/>
    <mergeCell ref="B5:B6"/>
    <mergeCell ref="C5:C6"/>
    <mergeCell ref="D5:E5"/>
    <mergeCell ref="F5:G5"/>
    <mergeCell ref="B12:C12"/>
  </mergeCells>
  <pageMargins left="0.7" right="0.7" top="0.75" bottom="0.75" header="0.3" footer="0.3"/>
  <ignoredErrors>
    <ignoredError sqref="E12:E13 F18 F12 E15:E18" formula="1"/>
  </ignoredErrors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6A95-34BB-4F4E-B76F-6BB91018B25C}">
  <dimension ref="B3:H20"/>
  <sheetViews>
    <sheetView workbookViewId="0"/>
  </sheetViews>
  <sheetFormatPr defaultRowHeight="15" x14ac:dyDescent="0.25"/>
  <cols>
    <col min="3" max="3" width="35.140625" customWidth="1"/>
    <col min="4" max="4" width="17.5703125" customWidth="1"/>
    <col min="5" max="5" width="11.5703125" customWidth="1"/>
    <col min="6" max="6" width="15.85546875" customWidth="1"/>
    <col min="7" max="7" width="11.28515625" customWidth="1"/>
    <col min="8" max="8" width="10.28515625" customWidth="1"/>
  </cols>
  <sheetData>
    <row r="3" spans="2:8" ht="16.5" thickBot="1" x14ac:dyDescent="0.3">
      <c r="H3" s="174" t="s">
        <v>272</v>
      </c>
    </row>
    <row r="4" spans="2:8" ht="16.5" thickTop="1" x14ac:dyDescent="0.25">
      <c r="B4" s="477" t="s">
        <v>1377</v>
      </c>
      <c r="C4" s="477"/>
      <c r="D4" s="477"/>
      <c r="E4" s="477"/>
      <c r="F4" s="477"/>
      <c r="G4" s="477"/>
      <c r="H4" s="477"/>
    </row>
    <row r="5" spans="2:8" ht="15.75" x14ac:dyDescent="0.25">
      <c r="B5" s="443" t="s">
        <v>100</v>
      </c>
      <c r="C5" s="443" t="s">
        <v>131</v>
      </c>
      <c r="D5" s="448" t="s">
        <v>608</v>
      </c>
      <c r="E5" s="448"/>
      <c r="F5" s="448" t="s">
        <v>615</v>
      </c>
      <c r="G5" s="448"/>
      <c r="H5" s="443" t="s">
        <v>1309</v>
      </c>
    </row>
    <row r="6" spans="2:8" ht="15.75" x14ac:dyDescent="0.25">
      <c r="B6" s="443"/>
      <c r="C6" s="443"/>
      <c r="D6" s="170" t="s">
        <v>2</v>
      </c>
      <c r="E6" s="50" t="s">
        <v>20</v>
      </c>
      <c r="F6" s="170" t="s">
        <v>2</v>
      </c>
      <c r="G6" s="50" t="s">
        <v>20</v>
      </c>
      <c r="H6" s="443"/>
    </row>
    <row r="7" spans="2:8" x14ac:dyDescent="0.25">
      <c r="B7" s="48">
        <v>1</v>
      </c>
      <c r="C7" s="104">
        <v>2</v>
      </c>
      <c r="D7" s="104">
        <v>3</v>
      </c>
      <c r="E7" s="104">
        <v>4</v>
      </c>
      <c r="F7" s="104">
        <v>5</v>
      </c>
      <c r="G7" s="104">
        <v>6</v>
      </c>
      <c r="H7" s="104">
        <v>7</v>
      </c>
    </row>
    <row r="8" spans="2:8" ht="15.75" x14ac:dyDescent="0.25">
      <c r="B8" s="140" t="s">
        <v>247</v>
      </c>
      <c r="C8" s="479" t="s">
        <v>600</v>
      </c>
      <c r="D8" s="479"/>
      <c r="E8" s="479"/>
      <c r="F8" s="495"/>
      <c r="G8" s="495"/>
      <c r="H8" s="495"/>
    </row>
    <row r="9" spans="2:8" ht="15.75" x14ac:dyDescent="0.25">
      <c r="B9" s="52" t="s">
        <v>58</v>
      </c>
      <c r="C9" s="199" t="s">
        <v>221</v>
      </c>
      <c r="D9" s="195">
        <v>5510</v>
      </c>
      <c r="E9" s="187">
        <f>D9/D20*100</f>
        <v>39.774778026420272</v>
      </c>
      <c r="F9" s="195">
        <v>4822</v>
      </c>
      <c r="G9" s="187">
        <f>F9/F20*100</f>
        <v>32.858603066439521</v>
      </c>
      <c r="H9" s="202">
        <f>F9/D9*100</f>
        <v>87.513611615245011</v>
      </c>
    </row>
    <row r="10" spans="2:8" ht="15.75" x14ac:dyDescent="0.25">
      <c r="B10" s="52" t="s">
        <v>88</v>
      </c>
      <c r="C10" s="199" t="s">
        <v>222</v>
      </c>
      <c r="D10" s="197">
        <v>47</v>
      </c>
      <c r="E10" s="187">
        <f>D10/D20*100</f>
        <v>0.33927669096946511</v>
      </c>
      <c r="F10" s="197">
        <v>60</v>
      </c>
      <c r="G10" s="187">
        <f>F10/F20*100</f>
        <v>0.40885860306643956</v>
      </c>
      <c r="H10" s="202">
        <f>F10/D10*100</f>
        <v>127.65957446808511</v>
      </c>
    </row>
    <row r="11" spans="2:8" ht="15.75" x14ac:dyDescent="0.25">
      <c r="B11" s="52" t="s">
        <v>274</v>
      </c>
      <c r="C11" s="199" t="s">
        <v>223</v>
      </c>
      <c r="D11" s="197">
        <v>1</v>
      </c>
      <c r="E11" s="187">
        <f>D11/D20*100</f>
        <v>7.218652999350322E-3</v>
      </c>
      <c r="F11" s="197">
        <v>5</v>
      </c>
      <c r="G11" s="187">
        <f>F11/F20*100</f>
        <v>3.4071550255536626E-2</v>
      </c>
      <c r="H11" s="202">
        <f>F11/D11*100</f>
        <v>500</v>
      </c>
    </row>
    <row r="12" spans="2:8" ht="15.75" x14ac:dyDescent="0.25">
      <c r="B12" s="494" t="s">
        <v>597</v>
      </c>
      <c r="C12" s="494"/>
      <c r="D12" s="204">
        <f>SUM(D9:D11)</f>
        <v>5558</v>
      </c>
      <c r="E12" s="158">
        <f>D12/D20*100</f>
        <v>40.12127337038909</v>
      </c>
      <c r="F12" s="204">
        <f>SUM(F9:F11)</f>
        <v>4887</v>
      </c>
      <c r="G12" s="158">
        <f>F12/F20*100</f>
        <v>33.301533219761495</v>
      </c>
      <c r="H12" s="190">
        <f>F12/D12*100</f>
        <v>87.927311982727602</v>
      </c>
    </row>
    <row r="13" spans="2:8" ht="15.75" x14ac:dyDescent="0.25">
      <c r="B13" s="140" t="s">
        <v>248</v>
      </c>
      <c r="C13" s="216" t="s">
        <v>198</v>
      </c>
      <c r="D13" s="197"/>
      <c r="E13" s="187"/>
      <c r="F13" s="197"/>
      <c r="G13" s="187"/>
      <c r="H13" s="202"/>
    </row>
    <row r="14" spans="2:8" ht="15.75" x14ac:dyDescent="0.25">
      <c r="B14" s="52" t="s">
        <v>277</v>
      </c>
      <c r="C14" s="199" t="s">
        <v>132</v>
      </c>
      <c r="D14" s="195">
        <v>1464</v>
      </c>
      <c r="E14" s="187">
        <f>D14/D20*100</f>
        <v>10.568107991048871</v>
      </c>
      <c r="F14" s="195">
        <v>1596</v>
      </c>
      <c r="G14" s="187">
        <f>F14/F20*100</f>
        <v>10.875638841567291</v>
      </c>
      <c r="H14" s="202">
        <f t="shared" ref="H14:H17" si="0">F14/D14*100</f>
        <v>109.01639344262296</v>
      </c>
    </row>
    <row r="15" spans="2:8" ht="15.75" x14ac:dyDescent="0.25">
      <c r="B15" s="52" t="s">
        <v>278</v>
      </c>
      <c r="C15" s="199" t="s">
        <v>224</v>
      </c>
      <c r="D15" s="195">
        <v>4135</v>
      </c>
      <c r="E15" s="187">
        <f>D15/D20*100</f>
        <v>29.849130152313581</v>
      </c>
      <c r="F15" s="195">
        <v>4309</v>
      </c>
      <c r="G15" s="187">
        <f>F15/F20*100</f>
        <v>29.362862010221463</v>
      </c>
      <c r="H15" s="202">
        <f t="shared" si="0"/>
        <v>104.2079806529625</v>
      </c>
    </row>
    <row r="16" spans="2:8" ht="15.75" x14ac:dyDescent="0.25">
      <c r="B16" s="52" t="s">
        <v>279</v>
      </c>
      <c r="C16" s="199" t="s">
        <v>225</v>
      </c>
      <c r="D16" s="195">
        <v>2696</v>
      </c>
      <c r="E16" s="187">
        <f>D16/D20*100</f>
        <v>19.461488486248467</v>
      </c>
      <c r="F16" s="195">
        <v>3133</v>
      </c>
      <c r="G16" s="187">
        <f>F16/F20*100</f>
        <v>21.349233390119252</v>
      </c>
      <c r="H16" s="202">
        <f t="shared" si="0"/>
        <v>116.20919881305637</v>
      </c>
    </row>
    <row r="17" spans="2:8" ht="15.75" x14ac:dyDescent="0.25">
      <c r="B17" s="494" t="s">
        <v>598</v>
      </c>
      <c r="C17" s="494"/>
      <c r="D17" s="204">
        <f>SUM(D14:D16)</f>
        <v>8295</v>
      </c>
      <c r="E17" s="158">
        <f>D17/D20*100</f>
        <v>59.87872662961091</v>
      </c>
      <c r="F17" s="204">
        <f>SUM(F14:F16)</f>
        <v>9038</v>
      </c>
      <c r="G17" s="158">
        <f>F17/F20*100</f>
        <v>61.587734241908009</v>
      </c>
      <c r="H17" s="190">
        <f t="shared" si="0"/>
        <v>108.95720313441832</v>
      </c>
    </row>
    <row r="18" spans="2:8" ht="15.75" x14ac:dyDescent="0.25">
      <c r="B18" s="140" t="s">
        <v>249</v>
      </c>
      <c r="C18" s="216" t="s">
        <v>294</v>
      </c>
      <c r="D18" s="224">
        <v>0</v>
      </c>
      <c r="E18" s="250">
        <f>D18/D20*100</f>
        <v>0</v>
      </c>
      <c r="F18" s="224">
        <v>750</v>
      </c>
      <c r="G18" s="250">
        <f>F18/F20*100</f>
        <v>5.1107325383304936</v>
      </c>
      <c r="H18" s="202" t="s">
        <v>80</v>
      </c>
    </row>
    <row r="19" spans="2:8" ht="15.75" x14ac:dyDescent="0.25">
      <c r="B19" s="140" t="s">
        <v>250</v>
      </c>
      <c r="C19" s="216" t="s">
        <v>386</v>
      </c>
      <c r="D19" s="224">
        <v>0</v>
      </c>
      <c r="E19" s="250">
        <f>D19/D20*100</f>
        <v>0</v>
      </c>
      <c r="F19" s="224">
        <v>0</v>
      </c>
      <c r="G19" s="250">
        <f>F19/F20*100</f>
        <v>0</v>
      </c>
      <c r="H19" s="202" t="s">
        <v>80</v>
      </c>
    </row>
    <row r="20" spans="2:8" ht="15.75" x14ac:dyDescent="0.25">
      <c r="B20" s="50"/>
      <c r="C20" s="219" t="s">
        <v>387</v>
      </c>
      <c r="D20" s="204">
        <f>D12+D17+D18+D19</f>
        <v>13853</v>
      </c>
      <c r="E20" s="190">
        <f>E12+E17+E18+E19</f>
        <v>100</v>
      </c>
      <c r="F20" s="204">
        <f>F12+F17+F18+F19</f>
        <v>14675</v>
      </c>
      <c r="G20" s="190">
        <f>G12+G17+G18+G19</f>
        <v>100</v>
      </c>
      <c r="H20" s="190">
        <f>F20/D20*100</f>
        <v>105.93373276546596</v>
      </c>
    </row>
  </sheetData>
  <mergeCells count="10">
    <mergeCell ref="B12:C12"/>
    <mergeCell ref="B17:C17"/>
    <mergeCell ref="H5:H6"/>
    <mergeCell ref="B4:H4"/>
    <mergeCell ref="B5:B6"/>
    <mergeCell ref="C5:C6"/>
    <mergeCell ref="D5:E5"/>
    <mergeCell ref="F5:G5"/>
    <mergeCell ref="C8:E8"/>
    <mergeCell ref="F8:H8"/>
  </mergeCells>
  <pageMargins left="0.7" right="0.7" top="0.75" bottom="0.75" header="0.3" footer="0.3"/>
  <ignoredErrors>
    <ignoredError sqref="E12:E17 F12:G19" formula="1"/>
  </ignoredErrors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4FD4-59B6-4E7A-BFF9-367CE7910F73}">
  <dimension ref="B3:O26"/>
  <sheetViews>
    <sheetView workbookViewId="0">
      <selection activeCell="M23" sqref="M23"/>
    </sheetView>
  </sheetViews>
  <sheetFormatPr defaultRowHeight="15" x14ac:dyDescent="0.25"/>
  <cols>
    <col min="3" max="3" width="17.7109375" customWidth="1"/>
    <col min="4" max="4" width="10.5703125" customWidth="1"/>
    <col min="5" max="5" width="12.28515625" customWidth="1"/>
    <col min="6" max="6" width="11.42578125" customWidth="1"/>
    <col min="7" max="8" width="10.140625" customWidth="1"/>
    <col min="9" max="9" width="10.5703125" customWidth="1"/>
    <col min="10" max="10" width="10.42578125" customWidth="1"/>
    <col min="11" max="11" width="11.5703125" customWidth="1"/>
    <col min="12" max="13" width="11" customWidth="1"/>
    <col min="14" max="14" width="9.5703125" customWidth="1"/>
    <col min="15" max="15" width="12.28515625" customWidth="1"/>
  </cols>
  <sheetData>
    <row r="3" spans="2:15" ht="16.5" thickBot="1" x14ac:dyDescent="0.3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78" t="s">
        <v>271</v>
      </c>
    </row>
    <row r="4" spans="2:15" ht="16.5" thickTop="1" x14ac:dyDescent="0.25">
      <c r="B4" s="462" t="s">
        <v>1378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2:15" ht="15.75" x14ac:dyDescent="0.25">
      <c r="B5" s="491" t="s">
        <v>100</v>
      </c>
      <c r="C5" s="493" t="s">
        <v>112</v>
      </c>
      <c r="D5" s="493" t="s">
        <v>608</v>
      </c>
      <c r="E5" s="493"/>
      <c r="F5" s="493"/>
      <c r="G5" s="493"/>
      <c r="H5" s="493"/>
      <c r="I5" s="493"/>
      <c r="J5" s="493" t="s">
        <v>609</v>
      </c>
      <c r="K5" s="493"/>
      <c r="L5" s="493"/>
      <c r="M5" s="493"/>
      <c r="N5" s="493"/>
      <c r="O5" s="493"/>
    </row>
    <row r="6" spans="2:15" ht="15.75" x14ac:dyDescent="0.25">
      <c r="B6" s="491"/>
      <c r="C6" s="493"/>
      <c r="D6" s="491" t="s">
        <v>207</v>
      </c>
      <c r="E6" s="491"/>
      <c r="F6" s="491" t="s">
        <v>208</v>
      </c>
      <c r="G6" s="491"/>
      <c r="H6" s="493" t="s">
        <v>18</v>
      </c>
      <c r="I6" s="493"/>
      <c r="J6" s="491" t="s">
        <v>207</v>
      </c>
      <c r="K6" s="491"/>
      <c r="L6" s="491" t="s">
        <v>208</v>
      </c>
      <c r="M6" s="491"/>
      <c r="N6" s="493" t="s">
        <v>18</v>
      </c>
      <c r="O6" s="493"/>
    </row>
    <row r="7" spans="2:15" ht="15.75" x14ac:dyDescent="0.25">
      <c r="B7" s="491"/>
      <c r="C7" s="493"/>
      <c r="D7" s="228" t="s">
        <v>295</v>
      </c>
      <c r="E7" s="228" t="s">
        <v>2</v>
      </c>
      <c r="F7" s="228" t="s">
        <v>295</v>
      </c>
      <c r="G7" s="228" t="s">
        <v>2</v>
      </c>
      <c r="H7" s="229" t="s">
        <v>295</v>
      </c>
      <c r="I7" s="229" t="s">
        <v>2</v>
      </c>
      <c r="J7" s="229" t="s">
        <v>295</v>
      </c>
      <c r="K7" s="228" t="s">
        <v>2</v>
      </c>
      <c r="L7" s="228" t="s">
        <v>295</v>
      </c>
      <c r="M7" s="228" t="s">
        <v>2</v>
      </c>
      <c r="N7" s="228" t="s">
        <v>295</v>
      </c>
      <c r="O7" s="229" t="s">
        <v>2</v>
      </c>
    </row>
    <row r="8" spans="2:15" x14ac:dyDescent="0.25">
      <c r="B8" s="230">
        <v>1</v>
      </c>
      <c r="C8" s="231">
        <v>2</v>
      </c>
      <c r="D8" s="231">
        <v>3</v>
      </c>
      <c r="E8" s="231">
        <v>4</v>
      </c>
      <c r="F8" s="231">
        <v>5</v>
      </c>
      <c r="G8" s="231">
        <v>6</v>
      </c>
      <c r="H8" s="231" t="s">
        <v>323</v>
      </c>
      <c r="I8" s="231" t="s">
        <v>324</v>
      </c>
      <c r="J8" s="231">
        <v>9</v>
      </c>
      <c r="K8" s="231">
        <v>10</v>
      </c>
      <c r="L8" s="231">
        <v>11</v>
      </c>
      <c r="M8" s="231">
        <v>12</v>
      </c>
      <c r="N8" s="231" t="s">
        <v>325</v>
      </c>
      <c r="O8" s="231" t="s">
        <v>326</v>
      </c>
    </row>
    <row r="9" spans="2:15" ht="15.75" x14ac:dyDescent="0.25">
      <c r="B9" s="232" t="s">
        <v>247</v>
      </c>
      <c r="C9" s="227" t="s">
        <v>226</v>
      </c>
      <c r="D9" s="233">
        <v>900</v>
      </c>
      <c r="E9" s="233">
        <v>56507</v>
      </c>
      <c r="F9" s="233">
        <v>305</v>
      </c>
      <c r="G9" s="233">
        <v>12178</v>
      </c>
      <c r="H9" s="233">
        <f t="shared" ref="H9:I12" si="0">D9+F9</f>
        <v>1205</v>
      </c>
      <c r="I9" s="233">
        <f t="shared" si="0"/>
        <v>68685</v>
      </c>
      <c r="J9" s="233">
        <v>860</v>
      </c>
      <c r="K9" s="233">
        <v>55169</v>
      </c>
      <c r="L9" s="233">
        <v>385</v>
      </c>
      <c r="M9" s="233">
        <v>17963</v>
      </c>
      <c r="N9" s="233">
        <f>J9+L9</f>
        <v>1245</v>
      </c>
      <c r="O9" s="233">
        <f t="shared" ref="N9:O12" si="1">K9+M9</f>
        <v>73132</v>
      </c>
    </row>
    <row r="10" spans="2:15" ht="15.75" x14ac:dyDescent="0.25">
      <c r="B10" s="232" t="s">
        <v>248</v>
      </c>
      <c r="C10" s="227" t="s">
        <v>227</v>
      </c>
      <c r="D10" s="233">
        <v>49</v>
      </c>
      <c r="E10" s="233">
        <v>3699</v>
      </c>
      <c r="F10" s="233">
        <v>0</v>
      </c>
      <c r="G10" s="233">
        <v>0</v>
      </c>
      <c r="H10" s="233">
        <f t="shared" si="0"/>
        <v>49</v>
      </c>
      <c r="I10" s="233">
        <f t="shared" si="0"/>
        <v>3699</v>
      </c>
      <c r="J10" s="233">
        <v>44</v>
      </c>
      <c r="K10" s="233">
        <v>6319</v>
      </c>
      <c r="L10" s="233">
        <v>0</v>
      </c>
      <c r="M10" s="233">
        <v>0</v>
      </c>
      <c r="N10" s="233">
        <f t="shared" si="1"/>
        <v>44</v>
      </c>
      <c r="O10" s="233">
        <f t="shared" si="1"/>
        <v>6319</v>
      </c>
    </row>
    <row r="11" spans="2:15" ht="15.75" x14ac:dyDescent="0.25">
      <c r="B11" s="232" t="s">
        <v>249</v>
      </c>
      <c r="C11" s="227" t="s">
        <v>214</v>
      </c>
      <c r="D11" s="233">
        <v>0</v>
      </c>
      <c r="E11" s="233">
        <v>0</v>
      </c>
      <c r="F11" s="233">
        <v>0</v>
      </c>
      <c r="G11" s="233">
        <v>0</v>
      </c>
      <c r="H11" s="233">
        <f t="shared" si="0"/>
        <v>0</v>
      </c>
      <c r="I11" s="233">
        <f t="shared" si="0"/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f t="shared" si="1"/>
        <v>0</v>
      </c>
      <c r="O11" s="233">
        <f t="shared" si="1"/>
        <v>0</v>
      </c>
    </row>
    <row r="12" spans="2:15" ht="15.75" x14ac:dyDescent="0.25">
      <c r="B12" s="232" t="s">
        <v>250</v>
      </c>
      <c r="C12" s="227" t="s">
        <v>46</v>
      </c>
      <c r="D12" s="233">
        <v>2</v>
      </c>
      <c r="E12" s="233">
        <v>25</v>
      </c>
      <c r="F12" s="233">
        <v>0</v>
      </c>
      <c r="G12" s="233">
        <v>0</v>
      </c>
      <c r="H12" s="233">
        <f t="shared" si="0"/>
        <v>2</v>
      </c>
      <c r="I12" s="233">
        <f t="shared" si="0"/>
        <v>25</v>
      </c>
      <c r="J12" s="233">
        <v>0</v>
      </c>
      <c r="K12" s="233">
        <v>0</v>
      </c>
      <c r="L12" s="233">
        <v>0</v>
      </c>
      <c r="M12" s="233">
        <v>0</v>
      </c>
      <c r="N12" s="233">
        <f t="shared" si="1"/>
        <v>0</v>
      </c>
      <c r="O12" s="233">
        <f t="shared" si="1"/>
        <v>0</v>
      </c>
    </row>
    <row r="13" spans="2:15" ht="15.75" x14ac:dyDescent="0.25">
      <c r="B13" s="251"/>
      <c r="C13" s="252" t="s">
        <v>18</v>
      </c>
      <c r="D13" s="236">
        <f t="shared" ref="D13:O13" si="2">SUM(D9:D12)</f>
        <v>951</v>
      </c>
      <c r="E13" s="236">
        <f t="shared" si="2"/>
        <v>60231</v>
      </c>
      <c r="F13" s="236">
        <f t="shared" si="2"/>
        <v>305</v>
      </c>
      <c r="G13" s="236">
        <f t="shared" si="2"/>
        <v>12178</v>
      </c>
      <c r="H13" s="236">
        <f t="shared" si="2"/>
        <v>1256</v>
      </c>
      <c r="I13" s="236">
        <f t="shared" si="2"/>
        <v>72409</v>
      </c>
      <c r="J13" s="236">
        <f>SUM(J9:J12)</f>
        <v>904</v>
      </c>
      <c r="K13" s="236">
        <f>SUM(K9:K12)</f>
        <v>61488</v>
      </c>
      <c r="L13" s="236">
        <f t="shared" si="2"/>
        <v>385</v>
      </c>
      <c r="M13" s="236">
        <f t="shared" si="2"/>
        <v>17963</v>
      </c>
      <c r="N13" s="236">
        <f>SUM(N9:N12)</f>
        <v>1289</v>
      </c>
      <c r="O13" s="236">
        <f t="shared" si="2"/>
        <v>79451</v>
      </c>
    </row>
    <row r="16" spans="2:15" ht="15.75" thickBot="1" x14ac:dyDescent="0.3"/>
    <row r="17" spans="2:7" ht="39.75" customHeight="1" thickTop="1" x14ac:dyDescent="0.25">
      <c r="B17" s="496" t="s">
        <v>1379</v>
      </c>
      <c r="C17" s="496"/>
      <c r="D17" s="496"/>
      <c r="E17" s="496"/>
      <c r="F17" s="496"/>
      <c r="G17" s="496"/>
    </row>
    <row r="18" spans="2:7" ht="15.75" x14ac:dyDescent="0.25">
      <c r="B18" s="443" t="s">
        <v>100</v>
      </c>
      <c r="C18" s="448" t="s">
        <v>112</v>
      </c>
      <c r="D18" s="455" t="s">
        <v>608</v>
      </c>
      <c r="E18" s="455"/>
      <c r="F18" s="455" t="s">
        <v>609</v>
      </c>
      <c r="G18" s="455"/>
    </row>
    <row r="19" spans="2:7" ht="15.75" x14ac:dyDescent="0.25">
      <c r="B19" s="443"/>
      <c r="C19" s="448"/>
      <c r="D19" s="443" t="s">
        <v>207</v>
      </c>
      <c r="E19" s="443"/>
      <c r="F19" s="443" t="s">
        <v>207</v>
      </c>
      <c r="G19" s="443"/>
    </row>
    <row r="20" spans="2:7" ht="15.75" x14ac:dyDescent="0.25">
      <c r="B20" s="443"/>
      <c r="C20" s="448"/>
      <c r="D20" s="50" t="s">
        <v>295</v>
      </c>
      <c r="E20" s="50" t="s">
        <v>2</v>
      </c>
      <c r="F20" s="170" t="s">
        <v>295</v>
      </c>
      <c r="G20" s="50" t="s">
        <v>2</v>
      </c>
    </row>
    <row r="21" spans="2:7" x14ac:dyDescent="0.25">
      <c r="B21" s="48">
        <v>1</v>
      </c>
      <c r="C21" s="104">
        <v>2</v>
      </c>
      <c r="D21" s="104">
        <v>3</v>
      </c>
      <c r="E21" s="104">
        <v>4</v>
      </c>
      <c r="F21" s="104">
        <v>5</v>
      </c>
      <c r="G21" s="104">
        <v>6</v>
      </c>
    </row>
    <row r="22" spans="2:7" ht="15.75" x14ac:dyDescent="0.25">
      <c r="B22" s="52" t="s">
        <v>247</v>
      </c>
      <c r="C22" s="199" t="s">
        <v>226</v>
      </c>
      <c r="D22" s="195">
        <f>1+1+46+10</f>
        <v>58</v>
      </c>
      <c r="E22" s="195">
        <f>11+33+2309+1402</f>
        <v>3755</v>
      </c>
      <c r="F22" s="195">
        <v>42</v>
      </c>
      <c r="G22" s="195">
        <v>2805</v>
      </c>
    </row>
    <row r="23" spans="2:7" ht="15.75" x14ac:dyDescent="0.25">
      <c r="B23" s="52" t="s">
        <v>248</v>
      </c>
      <c r="C23" s="199" t="s">
        <v>227</v>
      </c>
      <c r="D23" s="195">
        <v>6</v>
      </c>
      <c r="E23" s="195">
        <v>485</v>
      </c>
      <c r="F23" s="195">
        <v>5</v>
      </c>
      <c r="G23" s="195">
        <v>504</v>
      </c>
    </row>
    <row r="24" spans="2:7" ht="15.75" x14ac:dyDescent="0.25">
      <c r="B24" s="52" t="s">
        <v>249</v>
      </c>
      <c r="C24" s="199" t="s">
        <v>214</v>
      </c>
      <c r="D24" s="195">
        <v>0</v>
      </c>
      <c r="E24" s="195">
        <v>0</v>
      </c>
      <c r="F24" s="195">
        <v>0</v>
      </c>
      <c r="G24" s="195">
        <v>0</v>
      </c>
    </row>
    <row r="25" spans="2:7" ht="15.75" x14ac:dyDescent="0.25">
      <c r="B25" s="52" t="s">
        <v>250</v>
      </c>
      <c r="C25" s="199" t="s">
        <v>46</v>
      </c>
      <c r="D25" s="195">
        <v>0</v>
      </c>
      <c r="E25" s="195">
        <v>0</v>
      </c>
      <c r="F25" s="195">
        <v>0</v>
      </c>
      <c r="G25" s="195">
        <v>0</v>
      </c>
    </row>
    <row r="26" spans="2:7" ht="15.75" x14ac:dyDescent="0.25">
      <c r="B26" s="49"/>
      <c r="C26" s="219" t="s">
        <v>18</v>
      </c>
      <c r="D26" s="204">
        <f t="shared" ref="D26:E26" si="3">SUM(D22:D25)</f>
        <v>64</v>
      </c>
      <c r="E26" s="204">
        <f t="shared" si="3"/>
        <v>4240</v>
      </c>
      <c r="F26" s="204">
        <f>SUM(F22:F25)</f>
        <v>47</v>
      </c>
      <c r="G26" s="204">
        <f>SUM(G22:G25)</f>
        <v>3309</v>
      </c>
    </row>
  </sheetData>
  <mergeCells count="18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B17:G17"/>
    <mergeCell ref="B18:B20"/>
    <mergeCell ref="C18:C20"/>
    <mergeCell ref="D18:E18"/>
    <mergeCell ref="F18:G18"/>
    <mergeCell ref="D19:E19"/>
    <mergeCell ref="F19:G19"/>
  </mergeCells>
  <pageMargins left="0.7" right="0.7" top="0.75" bottom="0.75" header="0.3" footer="0.3"/>
  <ignoredErrors>
    <ignoredError sqref="D13:M13 F26:G26" formulaRange="1"/>
  </ignoredErrors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B7E07-33CA-4AB6-A08A-0CCA8F93EC73}">
  <dimension ref="B3:G32"/>
  <sheetViews>
    <sheetView workbookViewId="0"/>
  </sheetViews>
  <sheetFormatPr defaultRowHeight="15" x14ac:dyDescent="0.25"/>
  <cols>
    <col min="3" max="3" width="51.42578125" customWidth="1"/>
    <col min="4" max="4" width="10.85546875" customWidth="1"/>
    <col min="5" max="6" width="13.5703125" customWidth="1"/>
    <col min="7" max="7" width="15.42578125" customWidth="1"/>
  </cols>
  <sheetData>
    <row r="3" spans="2:7" ht="15.75" thickBot="1" x14ac:dyDescent="0.3"/>
    <row r="4" spans="2:7" ht="16.5" thickTop="1" x14ac:dyDescent="0.25">
      <c r="B4" s="484" t="s">
        <v>1380</v>
      </c>
      <c r="C4" s="484"/>
      <c r="D4" s="484"/>
      <c r="E4" s="484"/>
      <c r="F4" s="484"/>
      <c r="G4" s="484"/>
    </row>
    <row r="5" spans="2:7" ht="15.75" x14ac:dyDescent="0.25">
      <c r="B5" s="443" t="s">
        <v>100</v>
      </c>
      <c r="C5" s="448" t="s">
        <v>1278</v>
      </c>
      <c r="D5" s="443" t="s">
        <v>609</v>
      </c>
      <c r="E5" s="443"/>
      <c r="F5" s="443"/>
      <c r="G5" s="443"/>
    </row>
    <row r="6" spans="2:7" x14ac:dyDescent="0.25">
      <c r="B6" s="443"/>
      <c r="C6" s="448"/>
      <c r="D6" s="443" t="s">
        <v>1279</v>
      </c>
      <c r="E6" s="443" t="s">
        <v>1280</v>
      </c>
      <c r="F6" s="443" t="s">
        <v>1281</v>
      </c>
      <c r="G6" s="443" t="s">
        <v>1282</v>
      </c>
    </row>
    <row r="7" spans="2:7" x14ac:dyDescent="0.25">
      <c r="B7" s="443"/>
      <c r="C7" s="448"/>
      <c r="D7" s="443"/>
      <c r="E7" s="443"/>
      <c r="F7" s="443"/>
      <c r="G7" s="443"/>
    </row>
    <row r="8" spans="2:7" x14ac:dyDescent="0.25">
      <c r="B8" s="443"/>
      <c r="C8" s="448"/>
      <c r="D8" s="443"/>
      <c r="E8" s="443"/>
      <c r="F8" s="443"/>
      <c r="G8" s="443"/>
    </row>
    <row r="9" spans="2:7" x14ac:dyDescent="0.25">
      <c r="B9" s="314">
        <v>1</v>
      </c>
      <c r="C9" s="362">
        <v>2</v>
      </c>
      <c r="D9" s="314">
        <v>3</v>
      </c>
      <c r="E9" s="314">
        <v>4</v>
      </c>
      <c r="F9" s="314">
        <v>5</v>
      </c>
      <c r="G9" s="314">
        <v>6</v>
      </c>
    </row>
    <row r="10" spans="2:7" ht="15.75" customHeight="1" x14ac:dyDescent="0.25">
      <c r="B10" s="170" t="s">
        <v>247</v>
      </c>
      <c r="C10" s="49" t="s">
        <v>1283</v>
      </c>
      <c r="D10" s="204">
        <f>SUM(D11:D15)</f>
        <v>4</v>
      </c>
      <c r="E10" s="204">
        <f>SUM(E11:E15)</f>
        <v>75</v>
      </c>
      <c r="F10" s="363">
        <v>4.84</v>
      </c>
      <c r="G10" s="363">
        <v>7.13</v>
      </c>
    </row>
    <row r="11" spans="2:7" ht="15.75" customHeight="1" x14ac:dyDescent="0.25">
      <c r="B11" s="87" t="s">
        <v>1284</v>
      </c>
      <c r="C11" s="199" t="s">
        <v>1285</v>
      </c>
      <c r="D11" s="195">
        <v>4</v>
      </c>
      <c r="E11" s="195">
        <v>75</v>
      </c>
      <c r="F11" s="365">
        <v>4.84</v>
      </c>
      <c r="G11" s="365">
        <v>7.13</v>
      </c>
    </row>
    <row r="12" spans="2:7" ht="15.75" customHeight="1" x14ac:dyDescent="0.25">
      <c r="B12" s="87" t="s">
        <v>1286</v>
      </c>
      <c r="C12" s="199" t="s">
        <v>1287</v>
      </c>
      <c r="D12" s="195">
        <v>0</v>
      </c>
      <c r="E12" s="195">
        <v>0</v>
      </c>
      <c r="F12" s="365">
        <v>0</v>
      </c>
      <c r="G12" s="365">
        <v>0</v>
      </c>
    </row>
    <row r="13" spans="2:7" ht="15.75" customHeight="1" x14ac:dyDescent="0.25">
      <c r="B13" s="87" t="s">
        <v>1288</v>
      </c>
      <c r="C13" s="199" t="s">
        <v>1289</v>
      </c>
      <c r="D13" s="195">
        <v>0</v>
      </c>
      <c r="E13" s="195">
        <v>0</v>
      </c>
      <c r="F13" s="365">
        <v>0</v>
      </c>
      <c r="G13" s="365">
        <v>0</v>
      </c>
    </row>
    <row r="14" spans="2:7" ht="15.75" customHeight="1" x14ac:dyDescent="0.25">
      <c r="B14" s="87" t="s">
        <v>1290</v>
      </c>
      <c r="C14" s="199" t="s">
        <v>1291</v>
      </c>
      <c r="D14" s="195">
        <v>0</v>
      </c>
      <c r="E14" s="195">
        <v>0</v>
      </c>
      <c r="F14" s="365">
        <v>0</v>
      </c>
      <c r="G14" s="365">
        <v>0</v>
      </c>
    </row>
    <row r="15" spans="2:7" ht="15.75" customHeight="1" x14ac:dyDescent="0.25">
      <c r="B15" s="87" t="s">
        <v>1292</v>
      </c>
      <c r="C15" s="199" t="s">
        <v>1094</v>
      </c>
      <c r="D15" s="195">
        <v>0</v>
      </c>
      <c r="E15" s="195">
        <v>0</v>
      </c>
      <c r="F15" s="365">
        <v>0</v>
      </c>
      <c r="G15" s="365">
        <v>0</v>
      </c>
    </row>
    <row r="16" spans="2:7" ht="15.75" customHeight="1" x14ac:dyDescent="0.25">
      <c r="B16" s="170" t="s">
        <v>58</v>
      </c>
      <c r="C16" s="49" t="s">
        <v>1293</v>
      </c>
      <c r="D16" s="204">
        <f>SUM(D17:D19)</f>
        <v>4</v>
      </c>
      <c r="E16" s="204">
        <f>SUM(E17:E19)</f>
        <v>75</v>
      </c>
      <c r="F16" s="363">
        <v>4.84</v>
      </c>
      <c r="G16" s="363">
        <v>7.13</v>
      </c>
    </row>
    <row r="17" spans="2:7" ht="15.75" customHeight="1" x14ac:dyDescent="0.25">
      <c r="B17" s="87" t="s">
        <v>1284</v>
      </c>
      <c r="C17" s="199" t="s">
        <v>1294</v>
      </c>
      <c r="D17" s="195">
        <v>3</v>
      </c>
      <c r="E17" s="195">
        <v>62</v>
      </c>
      <c r="F17" s="365">
        <v>4.49</v>
      </c>
      <c r="G17" s="365">
        <v>6.24</v>
      </c>
    </row>
    <row r="18" spans="2:7" ht="15.75" customHeight="1" x14ac:dyDescent="0.25">
      <c r="B18" s="87" t="s">
        <v>1286</v>
      </c>
      <c r="C18" s="199" t="s">
        <v>1295</v>
      </c>
      <c r="D18" s="195">
        <v>0</v>
      </c>
      <c r="E18" s="195">
        <v>0</v>
      </c>
      <c r="F18" s="365">
        <v>0</v>
      </c>
      <c r="G18" s="387">
        <v>0</v>
      </c>
    </row>
    <row r="19" spans="2:7" ht="15.75" customHeight="1" x14ac:dyDescent="0.25">
      <c r="B19" s="87" t="s">
        <v>1288</v>
      </c>
      <c r="C19" s="199" t="s">
        <v>1296</v>
      </c>
      <c r="D19" s="195">
        <v>1</v>
      </c>
      <c r="E19" s="195">
        <v>13</v>
      </c>
      <c r="F19" s="365">
        <v>6.5</v>
      </c>
      <c r="G19" s="365">
        <v>11.36</v>
      </c>
    </row>
    <row r="20" spans="2:7" ht="15.75" customHeight="1" x14ac:dyDescent="0.25">
      <c r="B20" s="170" t="s">
        <v>248</v>
      </c>
      <c r="C20" s="49" t="s">
        <v>1297</v>
      </c>
      <c r="D20" s="204">
        <f>SUM(D21:D25)</f>
        <v>900</v>
      </c>
      <c r="E20" s="204">
        <f>SUM(E21:E25)</f>
        <v>61413</v>
      </c>
      <c r="F20" s="363">
        <v>5.81</v>
      </c>
      <c r="G20" s="363">
        <v>9.07</v>
      </c>
    </row>
    <row r="21" spans="2:7" ht="15.75" customHeight="1" x14ac:dyDescent="0.25">
      <c r="B21" s="87" t="s">
        <v>1284</v>
      </c>
      <c r="C21" s="199" t="s">
        <v>1285</v>
      </c>
      <c r="D21" s="195">
        <v>616</v>
      </c>
      <c r="E21" s="195">
        <v>34433</v>
      </c>
      <c r="F21" s="365">
        <v>5.92</v>
      </c>
      <c r="G21" s="365">
        <v>9.6300000000000008</v>
      </c>
    </row>
    <row r="22" spans="2:7" ht="15.75" customHeight="1" x14ac:dyDescent="0.25">
      <c r="B22" s="87" t="s">
        <v>1286</v>
      </c>
      <c r="C22" s="199" t="s">
        <v>1287</v>
      </c>
      <c r="D22" s="195">
        <v>240</v>
      </c>
      <c r="E22" s="195">
        <v>20661</v>
      </c>
      <c r="F22" s="365">
        <v>5.66</v>
      </c>
      <c r="G22" s="365">
        <v>8.36</v>
      </c>
    </row>
    <row r="23" spans="2:7" ht="15.75" customHeight="1" x14ac:dyDescent="0.25">
      <c r="B23" s="87" t="s">
        <v>1288</v>
      </c>
      <c r="C23" s="199" t="s">
        <v>1289</v>
      </c>
      <c r="D23" s="195">
        <v>44</v>
      </c>
      <c r="E23" s="195">
        <v>6319</v>
      </c>
      <c r="F23" s="365">
        <v>5.67</v>
      </c>
      <c r="G23" s="365">
        <v>8.3699999999999992</v>
      </c>
    </row>
    <row r="24" spans="2:7" ht="15.75" customHeight="1" x14ac:dyDescent="0.25">
      <c r="B24" s="87" t="s">
        <v>1290</v>
      </c>
      <c r="C24" s="199" t="s">
        <v>1291</v>
      </c>
      <c r="D24" s="195">
        <v>0</v>
      </c>
      <c r="E24" s="195">
        <v>0</v>
      </c>
      <c r="F24" s="365">
        <v>0</v>
      </c>
      <c r="G24" s="365">
        <v>0</v>
      </c>
    </row>
    <row r="25" spans="2:7" ht="15.75" customHeight="1" x14ac:dyDescent="0.25">
      <c r="B25" s="87" t="s">
        <v>1292</v>
      </c>
      <c r="C25" s="199" t="s">
        <v>1094</v>
      </c>
      <c r="D25" s="195">
        <v>0</v>
      </c>
      <c r="E25" s="195">
        <v>0</v>
      </c>
      <c r="F25" s="365">
        <v>0</v>
      </c>
      <c r="G25" s="365">
        <v>0</v>
      </c>
    </row>
    <row r="26" spans="2:7" ht="15.75" customHeight="1" x14ac:dyDescent="0.25">
      <c r="B26" s="170" t="s">
        <v>277</v>
      </c>
      <c r="C26" s="49" t="s">
        <v>1298</v>
      </c>
      <c r="D26" s="204">
        <f>SUM(D27:D29)</f>
        <v>900</v>
      </c>
      <c r="E26" s="204">
        <f>SUM(E27:E29)</f>
        <v>61413</v>
      </c>
      <c r="F26" s="363">
        <v>5.81</v>
      </c>
      <c r="G26" s="363">
        <v>9.07</v>
      </c>
    </row>
    <row r="27" spans="2:7" ht="15.75" customHeight="1" x14ac:dyDescent="0.25">
      <c r="B27" s="87" t="s">
        <v>1284</v>
      </c>
      <c r="C27" s="199" t="s">
        <v>1294</v>
      </c>
      <c r="D27" s="195">
        <v>766</v>
      </c>
      <c r="E27" s="195">
        <v>54237</v>
      </c>
      <c r="F27" s="365">
        <v>5.73</v>
      </c>
      <c r="G27" s="365">
        <v>8.24</v>
      </c>
    </row>
    <row r="28" spans="2:7" ht="15.75" customHeight="1" x14ac:dyDescent="0.25">
      <c r="B28" s="87" t="s">
        <v>1286</v>
      </c>
      <c r="C28" s="199" t="s">
        <v>1295</v>
      </c>
      <c r="D28" s="195">
        <v>48</v>
      </c>
      <c r="E28" s="195">
        <v>2518</v>
      </c>
      <c r="F28" s="365">
        <v>6.55</v>
      </c>
      <c r="G28" s="365">
        <v>9.52</v>
      </c>
    </row>
    <row r="29" spans="2:7" ht="15.75" customHeight="1" x14ac:dyDescent="0.25">
      <c r="B29" s="87" t="s">
        <v>1288</v>
      </c>
      <c r="C29" s="199" t="s">
        <v>1296</v>
      </c>
      <c r="D29" s="195">
        <v>86</v>
      </c>
      <c r="E29" s="195">
        <v>4658</v>
      </c>
      <c r="F29" s="365">
        <v>6.29</v>
      </c>
      <c r="G29" s="365">
        <v>18.52</v>
      </c>
    </row>
    <row r="30" spans="2:7" ht="15.75" customHeight="1" x14ac:dyDescent="0.25">
      <c r="B30" s="219"/>
      <c r="C30" s="219" t="s">
        <v>1299</v>
      </c>
      <c r="D30" s="204">
        <f>D10+D20</f>
        <v>904</v>
      </c>
      <c r="E30" s="204">
        <f>E10+E20</f>
        <v>61488</v>
      </c>
      <c r="F30" s="363">
        <v>5.81</v>
      </c>
      <c r="G30" s="363">
        <v>9.07</v>
      </c>
    </row>
    <row r="31" spans="2:7" x14ac:dyDescent="0.25">
      <c r="B31" s="388" t="s">
        <v>1300</v>
      </c>
    </row>
    <row r="32" spans="2:7" x14ac:dyDescent="0.25">
      <c r="B32" s="388" t="s">
        <v>1301</v>
      </c>
    </row>
  </sheetData>
  <mergeCells count="8">
    <mergeCell ref="B4:G4"/>
    <mergeCell ref="B5:B8"/>
    <mergeCell ref="C5:C8"/>
    <mergeCell ref="D5:G5"/>
    <mergeCell ref="D6:D8"/>
    <mergeCell ref="E6:E8"/>
    <mergeCell ref="F6:F8"/>
    <mergeCell ref="G6:G8"/>
  </mergeCells>
  <pageMargins left="0.7" right="0.7" top="0.75" bottom="0.75" header="0.3" footer="0.3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9800-075E-405F-8A16-CB0AB6E1806F}">
  <dimension ref="B3:M16"/>
  <sheetViews>
    <sheetView workbookViewId="0"/>
  </sheetViews>
  <sheetFormatPr defaultRowHeight="15" x14ac:dyDescent="0.25"/>
  <cols>
    <col min="3" max="3" width="28.5703125" customWidth="1"/>
    <col min="5" max="5" width="10.28515625" customWidth="1"/>
    <col min="7" max="7" width="10.140625" customWidth="1"/>
    <col min="9" max="9" width="10" customWidth="1"/>
    <col min="11" max="11" width="10.5703125" customWidth="1"/>
    <col min="13" max="13" width="10" customWidth="1"/>
  </cols>
  <sheetData>
    <row r="3" spans="2:13" ht="15.75" thickBot="1" x14ac:dyDescent="0.3">
      <c r="M3" s="389" t="s">
        <v>1306</v>
      </c>
    </row>
    <row r="4" spans="2:13" ht="16.5" thickTop="1" x14ac:dyDescent="0.25">
      <c r="B4" s="484" t="s">
        <v>1381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</row>
    <row r="5" spans="2:13" ht="15.75" x14ac:dyDescent="0.25">
      <c r="B5" s="50" t="s">
        <v>1302</v>
      </c>
      <c r="C5" s="448" t="s">
        <v>56</v>
      </c>
      <c r="D5" s="450" t="s">
        <v>1107</v>
      </c>
      <c r="E5" s="450"/>
      <c r="F5" s="450" t="s">
        <v>1108</v>
      </c>
      <c r="G5" s="450"/>
      <c r="H5" s="450" t="s">
        <v>1109</v>
      </c>
      <c r="I5" s="450"/>
      <c r="J5" s="450" t="s">
        <v>608</v>
      </c>
      <c r="K5" s="450"/>
      <c r="L5" s="450" t="s">
        <v>609</v>
      </c>
      <c r="M5" s="450"/>
    </row>
    <row r="6" spans="2:13" ht="15.75" x14ac:dyDescent="0.25">
      <c r="B6" s="50" t="s">
        <v>1303</v>
      </c>
      <c r="C6" s="448"/>
      <c r="D6" s="170" t="s">
        <v>983</v>
      </c>
      <c r="E6" s="170" t="s">
        <v>984</v>
      </c>
      <c r="F6" s="170" t="s">
        <v>983</v>
      </c>
      <c r="G6" s="170" t="s">
        <v>984</v>
      </c>
      <c r="H6" s="170" t="s">
        <v>983</v>
      </c>
      <c r="I6" s="170" t="s">
        <v>984</v>
      </c>
      <c r="J6" s="170" t="s">
        <v>983</v>
      </c>
      <c r="K6" s="170" t="s">
        <v>984</v>
      </c>
      <c r="L6" s="170" t="s">
        <v>983</v>
      </c>
      <c r="M6" s="170" t="s">
        <v>984</v>
      </c>
    </row>
    <row r="7" spans="2:13" x14ac:dyDescent="0.25">
      <c r="B7" s="314">
        <v>1</v>
      </c>
      <c r="C7" s="362">
        <v>2</v>
      </c>
      <c r="D7" s="314">
        <v>3</v>
      </c>
      <c r="E7" s="314">
        <v>4</v>
      </c>
      <c r="F7" s="362">
        <v>5</v>
      </c>
      <c r="G7" s="362">
        <v>6</v>
      </c>
      <c r="H7" s="362">
        <v>7</v>
      </c>
      <c r="I7" s="362">
        <v>8</v>
      </c>
      <c r="J7" s="362">
        <v>9</v>
      </c>
      <c r="K7" s="362">
        <v>10</v>
      </c>
      <c r="L7" s="362">
        <v>11</v>
      </c>
      <c r="M7" s="362">
        <v>12</v>
      </c>
    </row>
    <row r="8" spans="2:13" ht="15.75" x14ac:dyDescent="0.25">
      <c r="B8" s="50" t="s">
        <v>247</v>
      </c>
      <c r="C8" s="219" t="s">
        <v>1304</v>
      </c>
      <c r="D8" s="364">
        <v>4.0199999999999996</v>
      </c>
      <c r="E8" s="364">
        <v>6.8</v>
      </c>
      <c r="F8" s="364">
        <v>2.95</v>
      </c>
      <c r="G8" s="364">
        <v>6.1</v>
      </c>
      <c r="H8" s="364">
        <v>2.2999999999999998</v>
      </c>
      <c r="I8" s="364">
        <v>3.72</v>
      </c>
      <c r="J8" s="364">
        <v>6.88</v>
      </c>
      <c r="K8" s="364">
        <v>7.58</v>
      </c>
      <c r="L8" s="364">
        <v>4.84</v>
      </c>
      <c r="M8" s="364">
        <v>7.13</v>
      </c>
    </row>
    <row r="9" spans="2:13" ht="15.75" x14ac:dyDescent="0.25">
      <c r="B9" s="52" t="s">
        <v>58</v>
      </c>
      <c r="C9" s="199" t="s">
        <v>116</v>
      </c>
      <c r="D9" s="365">
        <v>4.0199999999999996</v>
      </c>
      <c r="E9" s="365">
        <v>6.8</v>
      </c>
      <c r="F9" s="365">
        <v>2.95</v>
      </c>
      <c r="G9" s="365">
        <v>6.1</v>
      </c>
      <c r="H9" s="365">
        <v>2.2999999999999998</v>
      </c>
      <c r="I9" s="365">
        <v>3.72</v>
      </c>
      <c r="J9" s="365">
        <v>6.88</v>
      </c>
      <c r="K9" s="365">
        <v>7.58</v>
      </c>
      <c r="L9" s="365">
        <v>4.49</v>
      </c>
      <c r="M9" s="365">
        <v>6.24</v>
      </c>
    </row>
    <row r="10" spans="2:13" ht="15.75" x14ac:dyDescent="0.25">
      <c r="B10" s="189" t="s">
        <v>88</v>
      </c>
      <c r="C10" s="199" t="s">
        <v>204</v>
      </c>
      <c r="D10" s="365">
        <v>0</v>
      </c>
      <c r="E10" s="365">
        <v>0</v>
      </c>
      <c r="F10" s="365">
        <v>0</v>
      </c>
      <c r="G10" s="365">
        <v>0</v>
      </c>
      <c r="H10" s="365">
        <v>0</v>
      </c>
      <c r="I10" s="365">
        <v>0</v>
      </c>
      <c r="J10" s="365">
        <v>0</v>
      </c>
      <c r="K10" s="365">
        <v>0</v>
      </c>
      <c r="L10" s="365">
        <v>0</v>
      </c>
      <c r="M10" s="365">
        <v>0</v>
      </c>
    </row>
    <row r="11" spans="2:13" ht="15.75" x14ac:dyDescent="0.25">
      <c r="B11" s="52" t="s">
        <v>274</v>
      </c>
      <c r="C11" s="199" t="s">
        <v>581</v>
      </c>
      <c r="D11" s="353">
        <v>0</v>
      </c>
      <c r="E11" s="353">
        <v>0</v>
      </c>
      <c r="F11" s="365">
        <v>0</v>
      </c>
      <c r="G11" s="365">
        <v>0</v>
      </c>
      <c r="H11" s="365">
        <v>0</v>
      </c>
      <c r="I11" s="365">
        <v>0</v>
      </c>
      <c r="J11" s="365">
        <v>0</v>
      </c>
      <c r="K11" s="365">
        <v>0</v>
      </c>
      <c r="L11" s="365">
        <v>6.5</v>
      </c>
      <c r="M11" s="365">
        <v>11.36</v>
      </c>
    </row>
    <row r="12" spans="2:13" ht="15.75" x14ac:dyDescent="0.25">
      <c r="B12" s="50" t="s">
        <v>248</v>
      </c>
      <c r="C12" s="219" t="s">
        <v>1305</v>
      </c>
      <c r="D12" s="364">
        <v>4.0599999999999996</v>
      </c>
      <c r="E12" s="364">
        <v>7.47</v>
      </c>
      <c r="F12" s="364">
        <v>3.69</v>
      </c>
      <c r="G12" s="364">
        <v>6.49</v>
      </c>
      <c r="H12" s="364">
        <v>5.65</v>
      </c>
      <c r="I12" s="364">
        <v>9.0500000000000007</v>
      </c>
      <c r="J12" s="364">
        <v>6.12</v>
      </c>
      <c r="K12" s="364">
        <v>9.24</v>
      </c>
      <c r="L12" s="364">
        <v>5.81</v>
      </c>
      <c r="M12" s="364">
        <v>9.07</v>
      </c>
    </row>
    <row r="13" spans="2:13" ht="15.75" x14ac:dyDescent="0.25">
      <c r="B13" s="52" t="s">
        <v>277</v>
      </c>
      <c r="C13" s="199" t="s">
        <v>116</v>
      </c>
      <c r="D13" s="365">
        <v>4</v>
      </c>
      <c r="E13" s="365">
        <v>6.58</v>
      </c>
      <c r="F13" s="365">
        <v>3.66</v>
      </c>
      <c r="G13" s="365">
        <v>5.7</v>
      </c>
      <c r="H13" s="365">
        <v>5.64</v>
      </c>
      <c r="I13" s="365">
        <v>8.67</v>
      </c>
      <c r="J13" s="365">
        <v>6.15</v>
      </c>
      <c r="K13" s="365">
        <v>8.8699999999999992</v>
      </c>
      <c r="L13" s="365">
        <v>5.73</v>
      </c>
      <c r="M13" s="365">
        <v>8.24</v>
      </c>
    </row>
    <row r="14" spans="2:13" ht="15.75" x14ac:dyDescent="0.25">
      <c r="B14" s="52" t="s">
        <v>278</v>
      </c>
      <c r="C14" s="199" t="s">
        <v>204</v>
      </c>
      <c r="D14" s="365">
        <v>3.95</v>
      </c>
      <c r="E14" s="365">
        <v>6.1</v>
      </c>
      <c r="F14" s="365">
        <v>3.46</v>
      </c>
      <c r="G14" s="365">
        <v>6.24</v>
      </c>
      <c r="H14" s="365">
        <v>5.47</v>
      </c>
      <c r="I14" s="365">
        <v>7.63</v>
      </c>
      <c r="J14" s="365">
        <v>5.87</v>
      </c>
      <c r="K14" s="365">
        <v>8.17</v>
      </c>
      <c r="L14" s="365">
        <v>6.55</v>
      </c>
      <c r="M14" s="365">
        <v>9.52</v>
      </c>
    </row>
    <row r="15" spans="2:13" ht="15.75" x14ac:dyDescent="0.25">
      <c r="B15" s="52" t="s">
        <v>279</v>
      </c>
      <c r="C15" s="199" t="s">
        <v>581</v>
      </c>
      <c r="D15" s="365">
        <v>4.8600000000000003</v>
      </c>
      <c r="E15" s="365">
        <v>18.82</v>
      </c>
      <c r="F15" s="365">
        <v>4.29</v>
      </c>
      <c r="G15" s="365">
        <v>17.37</v>
      </c>
      <c r="H15" s="365">
        <v>5.93</v>
      </c>
      <c r="I15" s="365">
        <v>18.7</v>
      </c>
      <c r="J15" s="365">
        <v>5.69</v>
      </c>
      <c r="K15" s="365">
        <v>19.079999999999998</v>
      </c>
      <c r="L15" s="365">
        <v>6.29</v>
      </c>
      <c r="M15" s="365">
        <v>18.52</v>
      </c>
    </row>
    <row r="16" spans="2:13" ht="15.75" x14ac:dyDescent="0.25">
      <c r="B16" s="443" t="s">
        <v>18</v>
      </c>
      <c r="C16" s="443"/>
      <c r="D16" s="363">
        <v>4.0599999999999996</v>
      </c>
      <c r="E16" s="363">
        <v>7.47</v>
      </c>
      <c r="F16" s="363">
        <v>3.69</v>
      </c>
      <c r="G16" s="363">
        <v>6.49</v>
      </c>
      <c r="H16" s="363">
        <v>5.64</v>
      </c>
      <c r="I16" s="363">
        <v>9.0399999999999991</v>
      </c>
      <c r="J16" s="363">
        <v>6.13</v>
      </c>
      <c r="K16" s="363">
        <v>9.23</v>
      </c>
      <c r="L16" s="363">
        <v>5.81</v>
      </c>
      <c r="M16" s="363">
        <v>9.07</v>
      </c>
    </row>
  </sheetData>
  <mergeCells count="8">
    <mergeCell ref="B16:C16"/>
    <mergeCell ref="B4:M4"/>
    <mergeCell ref="C5:C6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D047-521D-402F-8B60-A3B26B0FCDA2}">
  <dimension ref="B3:H15"/>
  <sheetViews>
    <sheetView workbookViewId="0">
      <selection activeCell="F19" sqref="F19"/>
    </sheetView>
  </sheetViews>
  <sheetFormatPr defaultRowHeight="15" x14ac:dyDescent="0.25"/>
  <cols>
    <col min="2" max="2" width="7.5703125" customWidth="1"/>
    <col min="3" max="3" width="40.5703125" customWidth="1"/>
    <col min="4" max="4" width="22.7109375" customWidth="1"/>
    <col min="5" max="5" width="12" customWidth="1"/>
    <col min="6" max="6" width="21.85546875" customWidth="1"/>
    <col min="7" max="7" width="13.7109375" customWidth="1"/>
    <col min="8" max="8" width="15.5703125" customWidth="1"/>
  </cols>
  <sheetData>
    <row r="3" spans="2:8" ht="16.5" thickBot="1" x14ac:dyDescent="0.3">
      <c r="B3" s="334"/>
      <c r="C3" s="334"/>
      <c r="D3" s="334"/>
      <c r="E3" s="334"/>
      <c r="F3" s="334"/>
      <c r="G3" s="334"/>
      <c r="H3" s="78" t="s">
        <v>271</v>
      </c>
    </row>
    <row r="4" spans="2:8" ht="34.5" customHeight="1" thickTop="1" x14ac:dyDescent="0.25">
      <c r="B4" s="447" t="s">
        <v>1383</v>
      </c>
      <c r="C4" s="447"/>
      <c r="D4" s="447"/>
      <c r="E4" s="447"/>
      <c r="F4" s="447"/>
      <c r="G4" s="447"/>
      <c r="H4" s="447"/>
    </row>
    <row r="5" spans="2:8" ht="32.25" customHeight="1" x14ac:dyDescent="0.25">
      <c r="B5" s="443" t="s">
        <v>100</v>
      </c>
      <c r="C5" s="443" t="s">
        <v>332</v>
      </c>
      <c r="D5" s="443" t="s">
        <v>415</v>
      </c>
      <c r="E5" s="443"/>
      <c r="F5" s="443"/>
      <c r="G5" s="443"/>
      <c r="H5" s="443"/>
    </row>
    <row r="6" spans="2:8" ht="15.75" x14ac:dyDescent="0.25">
      <c r="B6" s="443"/>
      <c r="C6" s="443"/>
      <c r="D6" s="443" t="s">
        <v>608</v>
      </c>
      <c r="E6" s="443"/>
      <c r="F6" s="443" t="s">
        <v>609</v>
      </c>
      <c r="G6" s="443"/>
      <c r="H6" s="50" t="s">
        <v>1</v>
      </c>
    </row>
    <row r="7" spans="2:8" ht="15.75" x14ac:dyDescent="0.25">
      <c r="B7" s="443"/>
      <c r="C7" s="443"/>
      <c r="D7" s="50" t="s">
        <v>2</v>
      </c>
      <c r="E7" s="50" t="s">
        <v>20</v>
      </c>
      <c r="F7" s="50" t="s">
        <v>2</v>
      </c>
      <c r="G7" s="50" t="s">
        <v>20</v>
      </c>
      <c r="H7" s="50" t="s">
        <v>333</v>
      </c>
    </row>
    <row r="8" spans="2:8" x14ac:dyDescent="0.25">
      <c r="B8" s="48">
        <v>1</v>
      </c>
      <c r="C8" s="48">
        <v>2</v>
      </c>
      <c r="D8" s="48">
        <v>3</v>
      </c>
      <c r="E8" s="48">
        <v>4</v>
      </c>
      <c r="F8" s="48">
        <v>5</v>
      </c>
      <c r="G8" s="48">
        <v>6</v>
      </c>
      <c r="H8" s="48">
        <v>7</v>
      </c>
    </row>
    <row r="9" spans="2:8" ht="15.75" customHeight="1" x14ac:dyDescent="0.25">
      <c r="B9" s="52" t="s">
        <v>247</v>
      </c>
      <c r="C9" s="57" t="s">
        <v>459</v>
      </c>
      <c r="D9" s="55">
        <v>36311</v>
      </c>
      <c r="E9" s="253">
        <f>D9/D$12*100</f>
        <v>99.050710603126106</v>
      </c>
      <c r="F9" s="55">
        <v>47079</v>
      </c>
      <c r="G9" s="253">
        <f>F9/F$12*100</f>
        <v>99.161699349158539</v>
      </c>
      <c r="H9" s="55">
        <f>F9/D9*100</f>
        <v>129.65492550466803</v>
      </c>
    </row>
    <row r="10" spans="2:8" ht="15.75" customHeight="1" x14ac:dyDescent="0.25">
      <c r="B10" s="52" t="s">
        <v>248</v>
      </c>
      <c r="C10" s="57" t="s">
        <v>229</v>
      </c>
      <c r="D10" s="55">
        <v>0</v>
      </c>
      <c r="E10" s="253">
        <f>D10/D$12*100</f>
        <v>0</v>
      </c>
      <c r="F10" s="55">
        <v>0</v>
      </c>
      <c r="G10" s="253">
        <f>F10/F$12*100</f>
        <v>0</v>
      </c>
      <c r="H10" s="55" t="s">
        <v>80</v>
      </c>
    </row>
    <row r="11" spans="2:8" ht="15.75" customHeight="1" x14ac:dyDescent="0.25">
      <c r="B11" s="52" t="s">
        <v>249</v>
      </c>
      <c r="C11" s="57" t="s">
        <v>327</v>
      </c>
      <c r="D11" s="55">
        <v>348</v>
      </c>
      <c r="E11" s="253">
        <f>D11/D12*100</f>
        <v>0.9492893968738918</v>
      </c>
      <c r="F11" s="55">
        <v>398</v>
      </c>
      <c r="G11" s="253">
        <f>F11/F$12*100</f>
        <v>0.8383006508414601</v>
      </c>
      <c r="H11" s="55">
        <f t="shared" ref="H11" si="0">F11/D11*100</f>
        <v>114.36781609195404</v>
      </c>
    </row>
    <row r="12" spans="2:8" ht="15.75" customHeight="1" x14ac:dyDescent="0.25">
      <c r="B12" s="50"/>
      <c r="C12" s="50" t="s">
        <v>230</v>
      </c>
      <c r="D12" s="56">
        <f>SUM(D9:D11)</f>
        <v>36659</v>
      </c>
      <c r="E12" s="56">
        <f>SUM(E9:E11)</f>
        <v>100</v>
      </c>
      <c r="F12" s="56">
        <f>SUM(F9:F11)</f>
        <v>47477</v>
      </c>
      <c r="G12" s="56">
        <f>SUM(G9:G11)</f>
        <v>100</v>
      </c>
      <c r="H12" s="56">
        <f>F12/D12*100</f>
        <v>129.5098065959246</v>
      </c>
    </row>
    <row r="13" spans="2:8" ht="15.75" customHeight="1" x14ac:dyDescent="0.25">
      <c r="B13" s="52" t="s">
        <v>250</v>
      </c>
      <c r="C13" s="57" t="s">
        <v>231</v>
      </c>
      <c r="D13" s="55">
        <v>36659</v>
      </c>
      <c r="E13" s="55">
        <f>D13/D15*100</f>
        <v>100</v>
      </c>
      <c r="F13" s="55">
        <v>47477</v>
      </c>
      <c r="G13" s="55">
        <f>F13/F15*100</f>
        <v>100</v>
      </c>
      <c r="H13" s="55">
        <f>F13/D13*100</f>
        <v>129.5098065959246</v>
      </c>
    </row>
    <row r="14" spans="2:8" ht="15.75" customHeight="1" x14ac:dyDescent="0.25">
      <c r="B14" s="52" t="s">
        <v>251</v>
      </c>
      <c r="C14" s="57" t="s">
        <v>458</v>
      </c>
      <c r="D14" s="55">
        <v>0</v>
      </c>
      <c r="E14" s="55">
        <v>0</v>
      </c>
      <c r="F14" s="55">
        <v>0</v>
      </c>
      <c r="G14" s="55">
        <v>0</v>
      </c>
      <c r="H14" s="55" t="s">
        <v>80</v>
      </c>
    </row>
    <row r="15" spans="2:8" ht="15.75" customHeight="1" x14ac:dyDescent="0.25">
      <c r="B15" s="254"/>
      <c r="C15" s="50" t="s">
        <v>230</v>
      </c>
      <c r="D15" s="56">
        <f>SUM(D13:D14)</f>
        <v>36659</v>
      </c>
      <c r="E15" s="56">
        <f>SUM(E13:E14)</f>
        <v>100</v>
      </c>
      <c r="F15" s="56">
        <f>SUM(F13:F14)</f>
        <v>47477</v>
      </c>
      <c r="G15" s="56">
        <f>SUM(G13:G14)</f>
        <v>100</v>
      </c>
      <c r="H15" s="56">
        <f>F15/D15*100</f>
        <v>129.5098065959246</v>
      </c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ignoredErrors>
    <ignoredError sqref="D12 F12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J14"/>
  <sheetViews>
    <sheetView workbookViewId="0"/>
  </sheetViews>
  <sheetFormatPr defaultColWidth="9.140625" defaultRowHeight="15" x14ac:dyDescent="0.25"/>
  <cols>
    <col min="2" max="2" width="7.7109375" customWidth="1"/>
    <col min="3" max="3" width="33.140625" customWidth="1"/>
    <col min="4" max="4" width="14.28515625" customWidth="1"/>
    <col min="5" max="5" width="14.85546875" customWidth="1"/>
    <col min="6" max="6" width="14.42578125" customWidth="1"/>
    <col min="7" max="7" width="14.140625" customWidth="1"/>
    <col min="8" max="8" width="14" customWidth="1"/>
  </cols>
  <sheetData>
    <row r="2" spans="2:10" ht="15.75" x14ac:dyDescent="0.25">
      <c r="C2" s="5"/>
      <c r="D2" s="19"/>
      <c r="E2" s="19"/>
      <c r="F2" s="19"/>
      <c r="G2" s="19"/>
      <c r="H2" s="19"/>
    </row>
    <row r="3" spans="2:10" ht="16.5" thickBot="1" x14ac:dyDescent="0.3">
      <c r="C3" s="4"/>
      <c r="D3" s="4"/>
      <c r="E3" s="4"/>
      <c r="F3" s="4"/>
      <c r="G3" s="4"/>
      <c r="H3" s="4"/>
    </row>
    <row r="4" spans="2:10" ht="24.95" customHeight="1" thickTop="1" x14ac:dyDescent="0.25">
      <c r="B4" s="449" t="s">
        <v>681</v>
      </c>
      <c r="C4" s="449"/>
      <c r="D4" s="449"/>
      <c r="E4" s="449"/>
      <c r="F4" s="449"/>
      <c r="G4" s="449"/>
      <c r="H4" s="449"/>
    </row>
    <row r="5" spans="2:10" ht="18" customHeight="1" x14ac:dyDescent="0.25">
      <c r="B5" s="448" t="s">
        <v>100</v>
      </c>
      <c r="C5" s="450" t="s">
        <v>12</v>
      </c>
      <c r="D5" s="450" t="s">
        <v>603</v>
      </c>
      <c r="E5" s="450"/>
      <c r="F5" s="450" t="s">
        <v>604</v>
      </c>
      <c r="G5" s="450"/>
      <c r="H5" s="84" t="s">
        <v>1</v>
      </c>
    </row>
    <row r="6" spans="2:10" ht="31.5" x14ac:dyDescent="0.25">
      <c r="B6" s="448"/>
      <c r="C6" s="450"/>
      <c r="D6" s="84" t="s">
        <v>13</v>
      </c>
      <c r="E6" s="84" t="s">
        <v>20</v>
      </c>
      <c r="F6" s="84" t="s">
        <v>13</v>
      </c>
      <c r="G6" s="84" t="s">
        <v>20</v>
      </c>
      <c r="H6" s="84" t="s">
        <v>333</v>
      </c>
    </row>
    <row r="7" spans="2:10" x14ac:dyDescent="0.25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0" ht="16.5" customHeight="1" x14ac:dyDescent="0.25">
      <c r="B8" s="87" t="s">
        <v>247</v>
      </c>
      <c r="C8" s="88" t="s">
        <v>14</v>
      </c>
      <c r="D8" s="89">
        <v>4224</v>
      </c>
      <c r="E8" s="90">
        <f>D8/D$12*100</f>
        <v>62.866497990772444</v>
      </c>
      <c r="F8" s="89">
        <v>4216</v>
      </c>
      <c r="G8" s="90">
        <f>F8/F$12*100</f>
        <v>62.738095238095241</v>
      </c>
      <c r="H8" s="91">
        <f>F8/D8*100</f>
        <v>99.810606060606062</v>
      </c>
    </row>
    <row r="9" spans="2:10" ht="16.5" customHeight="1" x14ac:dyDescent="0.25">
      <c r="B9" s="87" t="s">
        <v>248</v>
      </c>
      <c r="C9" s="88" t="s">
        <v>15</v>
      </c>
      <c r="D9" s="89">
        <v>387</v>
      </c>
      <c r="E9" s="90">
        <f t="shared" ref="E9:E11" si="0">D9/D$12*100</f>
        <v>5.759785682393213</v>
      </c>
      <c r="F9" s="89">
        <v>386</v>
      </c>
      <c r="G9" s="90">
        <f>F9/F$12*100</f>
        <v>5.7440476190476186</v>
      </c>
      <c r="H9" s="91">
        <f t="shared" ref="H9:H12" si="1">F9/D9*100</f>
        <v>99.741602067183464</v>
      </c>
    </row>
    <row r="10" spans="2:10" ht="16.5" customHeight="1" x14ac:dyDescent="0.25">
      <c r="B10" s="87" t="s">
        <v>249</v>
      </c>
      <c r="C10" s="88" t="s">
        <v>16</v>
      </c>
      <c r="D10" s="89">
        <v>2106</v>
      </c>
      <c r="E10" s="90">
        <f t="shared" si="0"/>
        <v>31.343949992558418</v>
      </c>
      <c r="F10" s="89">
        <v>2116</v>
      </c>
      <c r="G10" s="90">
        <f t="shared" ref="G10:G11" si="2">F10/F$12*100</f>
        <v>31.488095238095237</v>
      </c>
      <c r="H10" s="91">
        <f t="shared" si="1"/>
        <v>100.47483380816715</v>
      </c>
    </row>
    <row r="11" spans="2:10" ht="16.5" customHeight="1" x14ac:dyDescent="0.25">
      <c r="B11" s="87" t="s">
        <v>250</v>
      </c>
      <c r="C11" s="88" t="s">
        <v>17</v>
      </c>
      <c r="D11" s="89">
        <v>2</v>
      </c>
      <c r="E11" s="90">
        <f t="shared" si="0"/>
        <v>2.9766334275933917E-2</v>
      </c>
      <c r="F11" s="89">
        <v>2</v>
      </c>
      <c r="G11" s="90">
        <f t="shared" si="2"/>
        <v>2.9761904761904764E-2</v>
      </c>
      <c r="H11" s="91">
        <f t="shared" si="1"/>
        <v>100</v>
      </c>
    </row>
    <row r="12" spans="2:10" ht="20.25" customHeight="1" x14ac:dyDescent="0.25">
      <c r="B12" s="450" t="s">
        <v>18</v>
      </c>
      <c r="C12" s="450"/>
      <c r="D12" s="92">
        <f t="shared" ref="D12:G12" si="3">SUM(D8:D11)</f>
        <v>6719</v>
      </c>
      <c r="E12" s="93">
        <f t="shared" si="3"/>
        <v>100.00000000000001</v>
      </c>
      <c r="F12" s="92">
        <f t="shared" si="3"/>
        <v>6720</v>
      </c>
      <c r="G12" s="93">
        <f t="shared" si="3"/>
        <v>100</v>
      </c>
      <c r="H12" s="93">
        <f t="shared" si="1"/>
        <v>100.01488316713795</v>
      </c>
      <c r="J12" s="14"/>
    </row>
    <row r="14" spans="2:10" x14ac:dyDescent="0.25">
      <c r="F14" s="14"/>
    </row>
  </sheetData>
  <mergeCells count="6">
    <mergeCell ref="B5:B6"/>
    <mergeCell ref="B4:H4"/>
    <mergeCell ref="B12:C12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89</vt:i4>
      </vt:variant>
      <vt:variant>
        <vt:lpstr>Named Ranges</vt:lpstr>
      </vt:variant>
      <vt:variant>
        <vt:i4>5</vt:i4>
      </vt:variant>
    </vt:vector>
  </HeadingPairs>
  <TitlesOfParts>
    <vt:vector size="94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 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Tabela 61</vt:lpstr>
      <vt:lpstr>Tabela 62</vt:lpstr>
      <vt:lpstr>Tabela 63</vt:lpstr>
      <vt:lpstr>Tabela 64</vt:lpstr>
      <vt:lpstr>Tabela 65</vt:lpstr>
      <vt:lpstr>Tabela 66</vt:lpstr>
      <vt:lpstr>Tabela 67</vt:lpstr>
      <vt:lpstr>Tabela 68</vt:lpstr>
      <vt:lpstr>Tabela 69</vt:lpstr>
      <vt:lpstr>Tabela 70</vt:lpstr>
      <vt:lpstr>Tabela 71</vt:lpstr>
      <vt:lpstr>Tabela 72</vt:lpstr>
      <vt:lpstr>Tabela 73</vt:lpstr>
      <vt:lpstr>Tabela 74</vt:lpstr>
      <vt:lpstr>Tabela 75</vt:lpstr>
      <vt:lpstr>Tabela 76</vt:lpstr>
      <vt:lpstr>Tabela 77</vt:lpstr>
      <vt:lpstr>Tabela 78</vt:lpstr>
      <vt:lpstr>Tabela 79 i 79a</vt:lpstr>
      <vt:lpstr>Tabela 80 i 80a</vt:lpstr>
      <vt:lpstr>Tabela 81</vt:lpstr>
      <vt:lpstr>Tabela 82</vt:lpstr>
      <vt:lpstr>Tabela 83</vt:lpstr>
      <vt:lpstr>Tabela 84</vt:lpstr>
      <vt:lpstr>Tabela 85 i 85a</vt:lpstr>
      <vt:lpstr>Tabela 86</vt:lpstr>
      <vt:lpstr>Tabela 87</vt:lpstr>
      <vt:lpstr>Tabela 88</vt:lpstr>
      <vt:lpstr>'Tabela 16'!_ftn1</vt:lpstr>
      <vt:lpstr>'Tabela 52'!_ftn3</vt:lpstr>
      <vt:lpstr>'Tabela 16'!_ftnref1</vt:lpstr>
      <vt:lpstr>'Tabela 48'!_Hlk125727381</vt:lpstr>
      <vt:lpstr>'Tabela 9'!_Hlk24466834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FBA</dc:creator>
  <cp:lastModifiedBy/>
  <dcterms:created xsi:type="dcterms:W3CDTF">2015-06-05T18:17:20Z</dcterms:created>
  <dcterms:modified xsi:type="dcterms:W3CDTF">2025-06-18T08:30:26Z</dcterms:modified>
</cp:coreProperties>
</file>